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680" yWindow="65401" windowWidth="14115" windowHeight="11655" tabRatio="698" firstSheet="4" activeTab="11"/>
  </bookViews>
  <sheets>
    <sheet name="січ(тимч.)" sheetId="1" r:id="rId1"/>
    <sheet name="лютий(тимч.)" sheetId="2" r:id="rId2"/>
    <sheet name="лютий" sheetId="3" r:id="rId3"/>
    <sheet name="березень" sheetId="4" r:id="rId4"/>
    <sheet name="квітень" sheetId="5" r:id="rId5"/>
    <sheet name="травень" sheetId="6" r:id="rId6"/>
    <sheet name="червень" sheetId="7" r:id="rId7"/>
    <sheet name="липень" sheetId="8" r:id="rId8"/>
    <sheet name="серпень" sheetId="9" r:id="rId9"/>
    <sheet name="вересень" sheetId="10" r:id="rId10"/>
    <sheet name="жовтень" sheetId="11" r:id="rId11"/>
    <sheet name="листопад" sheetId="12" r:id="rId12"/>
  </sheets>
  <definedNames>
    <definedName name="_xlnm.Print_Area" localSheetId="3">'березень'!$A$1:$AG$99</definedName>
    <definedName name="_xlnm.Print_Area" localSheetId="10">'жовтень'!$A$1:$AG$99</definedName>
    <definedName name="_xlnm.Print_Area" localSheetId="4">'квітень'!$A$1:$AG$99</definedName>
    <definedName name="_xlnm.Print_Area" localSheetId="7">'липень'!$A$1:$AG$99</definedName>
    <definedName name="_xlnm.Print_Area" localSheetId="11">'листопад'!$A$1:$AG$99</definedName>
    <definedName name="_xlnm.Print_Area" localSheetId="2">'лютий'!$A$1:$AG$99</definedName>
    <definedName name="_xlnm.Print_Area" localSheetId="1">'лютий(тимч.)'!$A$1:$AG$99</definedName>
    <definedName name="_xlnm.Print_Area" localSheetId="8">'серпень'!$A$1:$AG$99</definedName>
    <definedName name="_xlnm.Print_Area" localSheetId="0">'січ(тимч.)'!$A$1:$AG$99</definedName>
    <definedName name="_xlnm.Print_Area" localSheetId="5">'травень'!$A$1:$AG$99</definedName>
    <definedName name="_xlnm.Print_Area" localSheetId="6">'червень'!$A$1:$AG$99</definedName>
  </definedNames>
  <calcPr fullCalcOnLoad="1"/>
</workbook>
</file>

<file path=xl/sharedStrings.xml><?xml version="1.0" encoding="utf-8"?>
<sst xmlns="http://schemas.openxmlformats.org/spreadsheetml/2006/main" count="1248" uniqueCount="76">
  <si>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</si>
  <si>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</si>
  <si>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</si>
  <si>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</si>
  <si>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</si>
  <si>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</si>
  <si>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</si>
  <si>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</si>
  <si>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</si>
  <si>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</si>
  <si>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</si>
  <si>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</si>
  <si>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</si>
  <si>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</si>
  <si>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</si>
  <si>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</si>
  <si>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</si>
  <si>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</si>
  <si>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</si>
  <si>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</si>
  <si>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</si>
  <si>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</si>
  <si>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</si>
  <si>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</si>
  <si>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</si>
  <si>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</si>
  <si>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</si>
  <si>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</si>
  <si>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</si>
  <si>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</si>
  <si>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</si>
  <si>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</si>
  <si>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</si>
  <si>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</si>
  <si>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</si>
  <si>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</si>
  <si>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</si>
  <si>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</si>
  <si>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</si>
  <si>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</si>
  <si>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</si>
  <si>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</si>
  <si>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</si>
  <si>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</si>
  <si>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</si>
  <si>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</si>
  <si>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</si>
  <si>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</si>
  <si>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</si>
  <si>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</si>
  <si>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</si>
  <si>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</si>
  <si>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СІЧНІ 2018 р.</t>
  </si>
  <si>
    <t>по міському бюджету м.Черкаси у ЛЮТОМУ 2018 р.</t>
  </si>
  <si>
    <t>надійшло доходів/план видатків
 на лютий</t>
  </si>
  <si>
    <t>надійшло доходів/план видатків
 на березень</t>
  </si>
  <si>
    <t>по міському бюджету м.Черкаси у БЕРЕЗНІ 2018 р.</t>
  </si>
  <si>
    <t xml:space="preserve">Надання кредиту </t>
  </si>
  <si>
    <t>по міському бюджету м.Черкаси у КВІТНІ 2018 р.</t>
  </si>
  <si>
    <t>надійшло доходів/план видатків
 на квітень</t>
  </si>
  <si>
    <t>надійшло доходів/план видатків
 на травень</t>
  </si>
  <si>
    <t>по міському бюджету м.Черкаси у ТРАВНІ 2018 р.</t>
  </si>
  <si>
    <t xml:space="preserve">Субвенція обласному бюджету </t>
  </si>
  <si>
    <t xml:space="preserve">Субвенція державному бюджету </t>
  </si>
  <si>
    <t>по міському бюджету м.Черкаси у ЧЕРВНІ 2018 р.</t>
  </si>
  <si>
    <t>надійшло доходів/план видатків
 на червень</t>
  </si>
  <si>
    <t>надійшло доходів/план видатків
 на липень</t>
  </si>
  <si>
    <t>по міському бюджету м.Черкаси у ЛИПНІ 2018 р.</t>
  </si>
  <si>
    <t>по міському бюджету м.Черкаси у СЕРПНІ 2018 р.</t>
  </si>
  <si>
    <t>надійшло доходів/план видатків
 на серпень</t>
  </si>
  <si>
    <t>по міському бюджету м.Черкаси у ВЕРЕСНІ 2018 р.</t>
  </si>
  <si>
    <t>надійшло доходів/план видатків
 на вересень</t>
  </si>
  <si>
    <t>надійшло доходів/план видатків
 на жовтень</t>
  </si>
  <si>
    <t>по міському бюджету м.Черкаси у ЖОВТНІ 2018 р.</t>
  </si>
  <si>
    <t>по міському бюджету м.Черкаси у ЛИСТОПАДІ 2018 р.</t>
  </si>
  <si>
    <t>надійшло доходів/план видатків
 на листопад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</si>
</sst>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  <numFmt numFmtId="201" formatCode="#0.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5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>
      <alignment/>
      <protection/>
    </xf>
    <xf numFmtId="0" fontId="8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196" fontId="2" fillId="0" borderId="10" xfId="0" applyNumberFormat="1" applyFont="1" applyBorder="1" applyAlignment="1">
      <alignment shrinkToFit="1"/>
    </xf>
    <xf numFmtId="196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200" fontId="0" fillId="0" borderId="10" xfId="0" applyNumberFormat="1" applyBorder="1" applyAlignment="1">
      <alignment/>
    </xf>
    <xf numFmtId="200" fontId="10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200" fontId="13" fillId="33" borderId="10" xfId="0" applyNumberFormat="1" applyFont="1" applyFill="1" applyBorder="1" applyAlignment="1">
      <alignment horizontal="center" shrinkToFit="1"/>
    </xf>
    <xf numFmtId="200" fontId="10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Fill="1" applyBorder="1" applyAlignment="1">
      <alignment shrinkToFit="1"/>
    </xf>
    <xf numFmtId="200" fontId="10" fillId="33" borderId="10" xfId="0" applyNumberFormat="1" applyFont="1" applyFill="1" applyBorder="1" applyAlignment="1">
      <alignment horizontal="right"/>
    </xf>
    <xf numFmtId="200" fontId="10" fillId="0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33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 horizontal="right" vertical="center"/>
    </xf>
    <xf numFmtId="200" fontId="10" fillId="33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Border="1" applyAlignment="1">
      <alignment vertical="center"/>
    </xf>
    <xf numFmtId="200" fontId="2" fillId="0" borderId="10" xfId="0" applyNumberFormat="1" applyFont="1" applyBorder="1" applyAlignment="1">
      <alignment/>
    </xf>
    <xf numFmtId="200" fontId="2" fillId="0" borderId="10" xfId="0" applyNumberFormat="1" applyFont="1" applyFill="1" applyBorder="1" applyAlignment="1">
      <alignment/>
    </xf>
    <xf numFmtId="200" fontId="1" fillId="0" borderId="0" xfId="0" applyNumberFormat="1" applyFont="1" applyAlignment="1">
      <alignment/>
    </xf>
    <xf numFmtId="200" fontId="0" fillId="0" borderId="0" xfId="0" applyNumberFormat="1" applyAlignment="1">
      <alignment/>
    </xf>
    <xf numFmtId="196" fontId="9" fillId="33" borderId="0" xfId="0" applyNumberFormat="1" applyFont="1" applyFill="1" applyAlignment="1">
      <alignment/>
    </xf>
    <xf numFmtId="0" fontId="3" fillId="33" borderId="0" xfId="0" applyFont="1" applyFill="1" applyAlignment="1">
      <alignment horizontal="right"/>
    </xf>
    <xf numFmtId="0" fontId="14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196" fontId="2" fillId="33" borderId="10" xfId="0" applyNumberFormat="1" applyFont="1" applyFill="1" applyBorder="1" applyAlignment="1">
      <alignment horizontal="center" vertical="center" wrapText="1"/>
    </xf>
    <xf numFmtId="196" fontId="10" fillId="33" borderId="10" xfId="0" applyNumberFormat="1" applyFont="1" applyFill="1" applyBorder="1" applyAlignment="1">
      <alignment horizontal="center" vertical="center" wrapText="1"/>
    </xf>
    <xf numFmtId="196" fontId="4" fillId="33" borderId="10" xfId="0" applyNumberFormat="1" applyFont="1" applyFill="1" applyBorder="1" applyAlignment="1">
      <alignment horizontal="center" vertical="center" wrapText="1"/>
    </xf>
    <xf numFmtId="196" fontId="2" fillId="33" borderId="10" xfId="0" applyNumberFormat="1" applyFont="1" applyFill="1" applyBorder="1" applyAlignment="1">
      <alignment horizontal="center"/>
    </xf>
    <xf numFmtId="196" fontId="10" fillId="33" borderId="0" xfId="0" applyNumberFormat="1" applyFont="1" applyFill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200" fontId="0" fillId="33" borderId="10" xfId="0" applyNumberFormat="1" applyFill="1" applyBorder="1" applyAlignment="1">
      <alignment/>
    </xf>
    <xf numFmtId="200" fontId="10" fillId="33" borderId="10" xfId="0" applyNumberFormat="1" applyFont="1" applyFill="1" applyBorder="1" applyAlignment="1">
      <alignment horizontal="center"/>
    </xf>
    <xf numFmtId="200" fontId="10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horizontal="center"/>
    </xf>
    <xf numFmtId="200" fontId="2" fillId="33" borderId="10" xfId="0" applyNumberFormat="1" applyFont="1" applyFill="1" applyBorder="1" applyAlignment="1">
      <alignment shrinkToFit="1"/>
    </xf>
    <xf numFmtId="196" fontId="2" fillId="33" borderId="10" xfId="0" applyNumberFormat="1" applyFont="1" applyFill="1" applyBorder="1" applyAlignment="1">
      <alignment shrinkToFit="1"/>
    </xf>
    <xf numFmtId="196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2" fillId="33" borderId="10" xfId="0" applyFont="1" applyFill="1" applyBorder="1" applyAlignment="1">
      <alignment wrapText="1"/>
    </xf>
    <xf numFmtId="196" fontId="1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 wrapText="1" indent="1"/>
    </xf>
    <xf numFmtId="200" fontId="10" fillId="33" borderId="10" xfId="0" applyNumberFormat="1" applyFont="1" applyFill="1" applyBorder="1" applyAlignment="1">
      <alignment/>
    </xf>
    <xf numFmtId="200" fontId="0" fillId="33" borderId="0" xfId="0" applyNumberFormat="1" applyFill="1" applyAlignment="1">
      <alignment/>
    </xf>
    <xf numFmtId="0" fontId="20" fillId="33" borderId="10" xfId="0" applyFont="1" applyFill="1" applyBorder="1" applyAlignment="1">
      <alignment wrapText="1"/>
    </xf>
    <xf numFmtId="196" fontId="21" fillId="33" borderId="10" xfId="0" applyNumberFormat="1" applyFont="1" applyFill="1" applyBorder="1" applyAlignment="1">
      <alignment/>
    </xf>
    <xf numFmtId="200" fontId="21" fillId="33" borderId="10" xfId="0" applyNumberFormat="1" applyFont="1" applyFill="1" applyBorder="1" applyAlignment="1">
      <alignment/>
    </xf>
    <xf numFmtId="196" fontId="22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horizontal="left" wrapText="1" indent="1"/>
    </xf>
    <xf numFmtId="196" fontId="0" fillId="33" borderId="0" xfId="0" applyNumberFormat="1" applyFont="1" applyFill="1" applyAlignment="1">
      <alignment/>
    </xf>
    <xf numFmtId="196" fontId="0" fillId="0" borderId="0" xfId="0" applyNumberFormat="1" applyFont="1" applyFill="1" applyAlignment="1">
      <alignment/>
    </xf>
    <xf numFmtId="196" fontId="10" fillId="33" borderId="10" xfId="0" applyNumberFormat="1" applyFont="1" applyFill="1" applyBorder="1" applyAlignment="1">
      <alignment horizontal="right" vertical="center"/>
    </xf>
    <xf numFmtId="196" fontId="10" fillId="33" borderId="10" xfId="0" applyNumberFormat="1" applyFont="1" applyFill="1" applyBorder="1" applyAlignment="1">
      <alignment/>
    </xf>
    <xf numFmtId="196" fontId="2" fillId="33" borderId="10" xfId="0" applyNumberFormat="1" applyFont="1" applyFill="1" applyBorder="1" applyAlignment="1">
      <alignment/>
    </xf>
    <xf numFmtId="196" fontId="2" fillId="33" borderId="0" xfId="0" applyNumberFormat="1" applyFont="1" applyFill="1" applyAlignment="1">
      <alignment/>
    </xf>
    <xf numFmtId="196" fontId="11" fillId="33" borderId="0" xfId="0" applyNumberFormat="1" applyFont="1" applyFill="1" applyAlignment="1">
      <alignment/>
    </xf>
    <xf numFmtId="196" fontId="16" fillId="33" borderId="0" xfId="0" applyNumberFormat="1" applyFont="1" applyFill="1" applyAlignment="1">
      <alignment/>
    </xf>
    <xf numFmtId="200" fontId="0" fillId="0" borderId="0" xfId="0" applyNumberFormat="1" applyAlignment="1">
      <alignment horizontal="right" vertical="center"/>
    </xf>
    <xf numFmtId="200" fontId="2" fillId="33" borderId="10" xfId="0" applyNumberFormat="1" applyFont="1" applyFill="1" applyBorder="1" applyAlignment="1">
      <alignment horizontal="center" vertical="center" wrapText="1"/>
    </xf>
    <xf numFmtId="200" fontId="10" fillId="33" borderId="10" xfId="0" applyNumberFormat="1" applyFont="1" applyFill="1" applyBorder="1" applyAlignment="1">
      <alignment vertical="center"/>
    </xf>
    <xf numFmtId="200" fontId="1" fillId="33" borderId="0" xfId="0" applyNumberFormat="1" applyFont="1" applyFill="1" applyAlignment="1">
      <alignment/>
    </xf>
    <xf numFmtId="200" fontId="2" fillId="33" borderId="10" xfId="0" applyNumberFormat="1" applyFont="1" applyFill="1" applyBorder="1" applyAlignment="1">
      <alignment/>
    </xf>
    <xf numFmtId="196" fontId="0" fillId="33" borderId="0" xfId="0" applyNumberFormat="1" applyFont="1" applyFill="1" applyAlignment="1">
      <alignment/>
    </xf>
    <xf numFmtId="0" fontId="0" fillId="33" borderId="0" xfId="0" applyFill="1" applyAlignment="1">
      <alignment horizontal="right"/>
    </xf>
    <xf numFmtId="0" fontId="0" fillId="33" borderId="0" xfId="0" applyFill="1" applyAlignment="1">
      <alignment horizontal="right" vertical="center"/>
    </xf>
    <xf numFmtId="196" fontId="0" fillId="33" borderId="0" xfId="0" applyNumberFormat="1" applyFill="1" applyAlignment="1">
      <alignment horizontal="right" vertic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0" fontId="14" fillId="33" borderId="0" xfId="0" applyFont="1" applyFill="1" applyAlignment="1">
      <alignment/>
    </xf>
    <xf numFmtId="196" fontId="10" fillId="33" borderId="0" xfId="0" applyNumberFormat="1" applyFont="1" applyFill="1" applyAlignment="1">
      <alignment/>
    </xf>
    <xf numFmtId="196" fontId="17" fillId="33" borderId="0" xfId="0" applyNumberFormat="1" applyFont="1" applyFill="1" applyAlignment="1">
      <alignment/>
    </xf>
    <xf numFmtId="200" fontId="22" fillId="33" borderId="0" xfId="0" applyNumberFormat="1" applyFont="1" applyFill="1" applyAlignment="1">
      <alignment/>
    </xf>
    <xf numFmtId="0" fontId="0" fillId="34" borderId="0" xfId="0" applyFill="1" applyAlignment="1">
      <alignment/>
    </xf>
    <xf numFmtId="0" fontId="2" fillId="34" borderId="10" xfId="0" applyFont="1" applyFill="1" applyBorder="1" applyAlignment="1">
      <alignment horizontal="center" vertical="center"/>
    </xf>
    <xf numFmtId="196" fontId="10" fillId="34" borderId="10" xfId="0" applyNumberFormat="1" applyFont="1" applyFill="1" applyBorder="1" applyAlignment="1">
      <alignment horizontal="center" vertical="center"/>
    </xf>
    <xf numFmtId="200" fontId="13" fillId="34" borderId="10" xfId="0" applyNumberFormat="1" applyFont="1" applyFill="1" applyBorder="1" applyAlignment="1">
      <alignment horizontal="center" shrinkToFit="1"/>
    </xf>
    <xf numFmtId="200" fontId="2" fillId="34" borderId="10" xfId="0" applyNumberFormat="1" applyFont="1" applyFill="1" applyBorder="1" applyAlignment="1">
      <alignment shrinkToFit="1"/>
    </xf>
    <xf numFmtId="200" fontId="10" fillId="34" borderId="10" xfId="0" applyNumberFormat="1" applyFont="1" applyFill="1" applyBorder="1" applyAlignment="1">
      <alignment/>
    </xf>
    <xf numFmtId="200" fontId="21" fillId="34" borderId="10" xfId="0" applyNumberFormat="1" applyFont="1" applyFill="1" applyBorder="1" applyAlignment="1">
      <alignment/>
    </xf>
    <xf numFmtId="200" fontId="10" fillId="34" borderId="10" xfId="0" applyNumberFormat="1" applyFont="1" applyFill="1" applyBorder="1" applyAlignment="1">
      <alignment horizontal="right" vertical="center"/>
    </xf>
    <xf numFmtId="200" fontId="2" fillId="34" borderId="10" xfId="0" applyNumberFormat="1" applyFont="1" applyFill="1" applyBorder="1" applyAlignment="1">
      <alignment/>
    </xf>
    <xf numFmtId="200" fontId="1" fillId="34" borderId="0" xfId="0" applyNumberFormat="1" applyFont="1" applyFill="1" applyAlignment="1">
      <alignment/>
    </xf>
    <xf numFmtId="0" fontId="14" fillId="34" borderId="0" xfId="0" applyFont="1" applyFill="1" applyAlignment="1">
      <alignment/>
    </xf>
    <xf numFmtId="196" fontId="10" fillId="34" borderId="0" xfId="0" applyNumberFormat="1" applyFont="1" applyFill="1" applyAlignment="1">
      <alignment/>
    </xf>
    <xf numFmtId="196" fontId="17" fillId="34" borderId="0" xfId="0" applyNumberFormat="1" applyFont="1" applyFill="1" applyAlignment="1">
      <alignment/>
    </xf>
    <xf numFmtId="200" fontId="0" fillId="34" borderId="0" xfId="0" applyNumberFormat="1" applyFill="1" applyAlignment="1">
      <alignment/>
    </xf>
    <xf numFmtId="196" fontId="1" fillId="34" borderId="0" xfId="0" applyNumberFormat="1" applyFont="1" applyFill="1" applyAlignment="1">
      <alignment/>
    </xf>
    <xf numFmtId="196" fontId="0" fillId="34" borderId="0" xfId="0" applyNumberFormat="1" applyFill="1" applyAlignment="1">
      <alignment/>
    </xf>
    <xf numFmtId="0" fontId="0" fillId="34" borderId="0" xfId="0" applyFill="1" applyBorder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3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6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33" sqref="AG33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0" t="s">
        <v>12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</row>
    <row r="2" spans="1:33" ht="22.5" customHeight="1">
      <c r="A2" s="161" t="s">
        <v>52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9</v>
      </c>
      <c r="H4" s="8">
        <v>10</v>
      </c>
      <c r="I4" s="8">
        <v>11</v>
      </c>
      <c r="J4" s="19">
        <v>12</v>
      </c>
      <c r="K4" s="8">
        <v>15</v>
      </c>
      <c r="L4" s="8">
        <v>16</v>
      </c>
      <c r="M4" s="8">
        <v>17</v>
      </c>
      <c r="N4" s="8">
        <v>18</v>
      </c>
      <c r="O4" s="8">
        <v>19</v>
      </c>
      <c r="P4" s="8">
        <v>22</v>
      </c>
      <c r="Q4" s="8">
        <v>23</v>
      </c>
      <c r="R4" s="8">
        <v>24</v>
      </c>
      <c r="S4" s="19">
        <v>25</v>
      </c>
      <c r="T4" s="19">
        <v>26</v>
      </c>
      <c r="U4" s="8">
        <v>29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41182.6</v>
      </c>
      <c r="C7" s="54">
        <v>16959.2</v>
      </c>
      <c r="D7" s="37"/>
      <c r="E7" s="38">
        <f>9589.8+11001.5</f>
        <v>20591.3</v>
      </c>
      <c r="F7" s="38"/>
      <c r="G7" s="38"/>
      <c r="H7" s="56"/>
      <c r="I7" s="38">
        <v>20591.3</v>
      </c>
      <c r="J7" s="39"/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C7+E7+I7-AF16-AF25</f>
        <v>19662.2</v>
      </c>
      <c r="AF7" s="54"/>
      <c r="AG7" s="40"/>
    </row>
    <row r="8" spans="1:55" ht="18" customHeight="1">
      <c r="A8" s="47" t="s">
        <v>30</v>
      </c>
      <c r="B8" s="33">
        <f>SUM(E8:AB8)</f>
        <v>103723.8</v>
      </c>
      <c r="C8" s="33">
        <v>29468.8</v>
      </c>
      <c r="D8" s="59"/>
      <c r="E8" s="60">
        <v>1665</v>
      </c>
      <c r="F8" s="61">
        <v>3220.5</v>
      </c>
      <c r="G8" s="61">
        <v>11724.1</v>
      </c>
      <c r="H8" s="61">
        <v>5314.4</v>
      </c>
      <c r="I8" s="61">
        <v>3508.5</v>
      </c>
      <c r="J8" s="61">
        <v>2959.4</v>
      </c>
      <c r="K8" s="62">
        <v>2592.4</v>
      </c>
      <c r="L8" s="61">
        <v>5168</v>
      </c>
      <c r="M8" s="61">
        <v>3935.1</v>
      </c>
      <c r="N8" s="61">
        <v>4772.7</v>
      </c>
      <c r="O8" s="61">
        <v>5493.3</v>
      </c>
      <c r="P8" s="61">
        <v>8991.2</v>
      </c>
      <c r="Q8" s="61">
        <v>8637.3</v>
      </c>
      <c r="R8" s="61">
        <v>4871.7</v>
      </c>
      <c r="S8" s="63">
        <v>2473.2</v>
      </c>
      <c r="T8" s="63">
        <v>2983.3</v>
      </c>
      <c r="U8" s="61">
        <v>6044.4</v>
      </c>
      <c r="V8" s="61">
        <v>8695.2</v>
      </c>
      <c r="W8" s="61">
        <v>10674.1</v>
      </c>
      <c r="X8" s="62"/>
      <c r="Y8" s="62"/>
      <c r="Z8" s="62"/>
      <c r="AA8" s="62"/>
      <c r="AB8" s="61"/>
      <c r="AC8" s="64"/>
      <c r="AD8" s="64"/>
      <c r="AE8" s="65">
        <f>SUM(E8:AD8)+C8-AF9+AF16+AF25</f>
        <v>68725.00000000003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123241.9</v>
      </c>
      <c r="C9" s="23">
        <f t="shared" si="0"/>
        <v>0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0</v>
      </c>
      <c r="H9" s="68">
        <f t="shared" si="0"/>
        <v>0</v>
      </c>
      <c r="I9" s="68">
        <f t="shared" si="0"/>
        <v>0</v>
      </c>
      <c r="J9" s="68">
        <f t="shared" si="0"/>
        <v>0</v>
      </c>
      <c r="K9" s="68">
        <f t="shared" si="0"/>
        <v>0</v>
      </c>
      <c r="L9" s="68">
        <f t="shared" si="0"/>
        <v>0</v>
      </c>
      <c r="M9" s="68">
        <f t="shared" si="0"/>
        <v>819</v>
      </c>
      <c r="N9" s="68">
        <f t="shared" si="0"/>
        <v>3076.1</v>
      </c>
      <c r="O9" s="68">
        <f t="shared" si="0"/>
        <v>31191.4</v>
      </c>
      <c r="P9" s="68">
        <f t="shared" si="0"/>
        <v>1102</v>
      </c>
      <c r="Q9" s="68">
        <f t="shared" si="0"/>
        <v>389.20000000000005</v>
      </c>
      <c r="R9" s="68">
        <f t="shared" si="0"/>
        <v>5882.700000000001</v>
      </c>
      <c r="S9" s="68">
        <f t="shared" si="0"/>
        <v>1369.1000000000001</v>
      </c>
      <c r="T9" s="68">
        <f t="shared" si="0"/>
        <v>11709.800000000001</v>
      </c>
      <c r="U9" s="68">
        <f t="shared" si="0"/>
        <v>31759.899999999998</v>
      </c>
      <c r="V9" s="68">
        <f t="shared" si="0"/>
        <v>13766.000000000002</v>
      </c>
      <c r="W9" s="68">
        <f t="shared" si="0"/>
        <v>1882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102947.19999999998</v>
      </c>
      <c r="AG9" s="69">
        <f>AG10+AG15+AG24+AG33+AG47+AG52+AG54+AG61+AG62+AG71+AG72+AG76+AG88+AG81+AG83+AG82+AG69+AG89+AG91+AG90+AG70+AG40+AG92</f>
        <v>20294.70000000001</v>
      </c>
      <c r="AH9" s="41"/>
      <c r="AI9" s="41"/>
    </row>
    <row r="10" spans="1:33" ht="15.75">
      <c r="A10" s="4" t="s">
        <v>4</v>
      </c>
      <c r="B10" s="22">
        <f>12954.5+29.8+25.2+328.3</f>
        <v>13337.8</v>
      </c>
      <c r="C10" s="22"/>
      <c r="D10" s="67"/>
      <c r="E10" s="67"/>
      <c r="F10" s="67"/>
      <c r="G10" s="67"/>
      <c r="H10" s="67"/>
      <c r="I10" s="67"/>
      <c r="J10" s="70"/>
      <c r="K10" s="67"/>
      <c r="L10" s="67"/>
      <c r="M10" s="67"/>
      <c r="N10" s="67">
        <v>3076.1</v>
      </c>
      <c r="O10" s="71">
        <v>1190.1</v>
      </c>
      <c r="P10" s="67">
        <v>85.4</v>
      </c>
      <c r="Q10" s="67">
        <v>19.6</v>
      </c>
      <c r="R10" s="67">
        <v>5.2</v>
      </c>
      <c r="S10" s="72">
        <v>812.5</v>
      </c>
      <c r="T10" s="72">
        <f>1196.5+4.7</f>
        <v>1201.2</v>
      </c>
      <c r="U10" s="72">
        <v>5442.2</v>
      </c>
      <c r="V10" s="72">
        <v>898.8</v>
      </c>
      <c r="W10" s="72">
        <v>0.6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41">SUM(D10:AD10)</f>
        <v>12731.699999999999</v>
      </c>
      <c r="AG10" s="71">
        <f>B10+C10-AF10</f>
        <v>606.1000000000004</v>
      </c>
    </row>
    <row r="11" spans="1:33" ht="15.75">
      <c r="A11" s="3" t="s">
        <v>5</v>
      </c>
      <c r="B11" s="22">
        <f>12517.8+27.3+25+362.7</f>
        <v>12932.8</v>
      </c>
      <c r="C11" s="22"/>
      <c r="D11" s="67"/>
      <c r="E11" s="67"/>
      <c r="F11" s="67"/>
      <c r="G11" s="67"/>
      <c r="H11" s="67"/>
      <c r="I11" s="67"/>
      <c r="J11" s="72"/>
      <c r="K11" s="67"/>
      <c r="L11" s="67"/>
      <c r="M11" s="67"/>
      <c r="N11" s="67">
        <v>3071.3</v>
      </c>
      <c r="O11" s="71">
        <v>1190.1</v>
      </c>
      <c r="P11" s="67">
        <v>77.9</v>
      </c>
      <c r="Q11" s="67"/>
      <c r="R11" s="67"/>
      <c r="S11" s="72">
        <v>810.1</v>
      </c>
      <c r="T11" s="72">
        <v>1179.1</v>
      </c>
      <c r="U11" s="72">
        <v>5434.9</v>
      </c>
      <c r="V11" s="72">
        <v>841.3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12604.699999999999</v>
      </c>
      <c r="AG11" s="71">
        <f>B11+C11-AF11</f>
        <v>328.10000000000036</v>
      </c>
    </row>
    <row r="12" spans="1:33" ht="15.75">
      <c r="A12" s="3" t="s">
        <v>2</v>
      </c>
      <c r="B12" s="29">
        <v>171</v>
      </c>
      <c r="C12" s="22"/>
      <c r="D12" s="67"/>
      <c r="E12" s="67"/>
      <c r="F12" s="67"/>
      <c r="G12" s="67"/>
      <c r="H12" s="67"/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/>
      <c r="T12" s="72"/>
      <c r="U12" s="72"/>
      <c r="V12" s="72">
        <v>57.2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57.2</v>
      </c>
      <c r="AG12" s="71">
        <f>B12+C12-AF12</f>
        <v>113.8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234</v>
      </c>
      <c r="C14" s="22">
        <f t="shared" si="2"/>
        <v>0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0</v>
      </c>
      <c r="J14" s="67">
        <f t="shared" si="2"/>
        <v>0</v>
      </c>
      <c r="K14" s="67">
        <f t="shared" si="2"/>
        <v>0</v>
      </c>
      <c r="L14" s="67">
        <f t="shared" si="2"/>
        <v>0</v>
      </c>
      <c r="M14" s="67">
        <f t="shared" si="2"/>
        <v>0</v>
      </c>
      <c r="N14" s="67">
        <f t="shared" si="2"/>
        <v>4.799999999999727</v>
      </c>
      <c r="O14" s="67">
        <f t="shared" si="2"/>
        <v>0</v>
      </c>
      <c r="P14" s="67">
        <f t="shared" si="2"/>
        <v>7.5</v>
      </c>
      <c r="Q14" s="67">
        <f t="shared" si="2"/>
        <v>19.6</v>
      </c>
      <c r="R14" s="67">
        <f t="shared" si="2"/>
        <v>5.2</v>
      </c>
      <c r="S14" s="67">
        <f t="shared" si="2"/>
        <v>2.3999999999999773</v>
      </c>
      <c r="T14" s="67">
        <f t="shared" si="2"/>
        <v>22.100000000000136</v>
      </c>
      <c r="U14" s="67">
        <f t="shared" si="2"/>
        <v>7.300000000000182</v>
      </c>
      <c r="V14" s="67">
        <f t="shared" si="2"/>
        <v>0.29999999999999716</v>
      </c>
      <c r="W14" s="67">
        <f t="shared" si="2"/>
        <v>0.6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69.80000000000003</v>
      </c>
      <c r="AG14" s="71">
        <f>AG10-AG11-AG12-AG13</f>
        <v>164.2</v>
      </c>
    </row>
    <row r="15" spans="1:33" ht="15" customHeight="1">
      <c r="A15" s="4" t="s">
        <v>6</v>
      </c>
      <c r="B15" s="22">
        <f>56190.2-192</f>
        <v>55998.2</v>
      </c>
      <c r="C15" s="22"/>
      <c r="D15" s="73"/>
      <c r="E15" s="73"/>
      <c r="F15" s="67"/>
      <c r="G15" s="67"/>
      <c r="H15" s="67"/>
      <c r="I15" s="67"/>
      <c r="J15" s="72"/>
      <c r="K15" s="67"/>
      <c r="L15" s="67"/>
      <c r="M15" s="67"/>
      <c r="N15" s="67"/>
      <c r="O15" s="71">
        <f>10502.1+8282.7</f>
        <v>18784.800000000003</v>
      </c>
      <c r="P15" s="67">
        <v>19.1</v>
      </c>
      <c r="Q15" s="71"/>
      <c r="R15" s="67">
        <v>1564</v>
      </c>
      <c r="S15" s="72"/>
      <c r="T15" s="72">
        <v>604.6</v>
      </c>
      <c r="U15" s="72">
        <v>17261.2</v>
      </c>
      <c r="V15" s="72">
        <f>400.5+10875.2</f>
        <v>11275.7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49509.399999999994</v>
      </c>
      <c r="AG15" s="71">
        <f aca="true" t="shared" si="3" ref="AG15:AG31">B15+C15-AF15</f>
        <v>6488.800000000003</v>
      </c>
    </row>
    <row r="16" spans="1:34" s="53" customFormat="1" ht="15" customHeight="1">
      <c r="A16" s="51" t="s">
        <v>38</v>
      </c>
      <c r="B16" s="52">
        <v>19179.6</v>
      </c>
      <c r="C16" s="52"/>
      <c r="D16" s="74"/>
      <c r="E16" s="74"/>
      <c r="F16" s="75"/>
      <c r="G16" s="75"/>
      <c r="H16" s="75"/>
      <c r="I16" s="75"/>
      <c r="J16" s="76"/>
      <c r="K16" s="75"/>
      <c r="L16" s="75"/>
      <c r="M16" s="75"/>
      <c r="N16" s="75"/>
      <c r="O16" s="77">
        <v>8282.7</v>
      </c>
      <c r="P16" s="75"/>
      <c r="Q16" s="77"/>
      <c r="R16" s="75"/>
      <c r="S16" s="76"/>
      <c r="T16" s="76"/>
      <c r="U16" s="76"/>
      <c r="V16" s="76">
        <v>10875.2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19157.9</v>
      </c>
      <c r="AG16" s="78">
        <f t="shared" si="3"/>
        <v>21.69999999999709</v>
      </c>
      <c r="AH16" s="57"/>
    </row>
    <row r="17" spans="1:34" ht="15.75">
      <c r="A17" s="3" t="s">
        <v>5</v>
      </c>
      <c r="B17" s="22">
        <v>47930.9</v>
      </c>
      <c r="C17" s="22"/>
      <c r="D17" s="67"/>
      <c r="E17" s="67"/>
      <c r="F17" s="67"/>
      <c r="G17" s="67"/>
      <c r="H17" s="67"/>
      <c r="I17" s="67"/>
      <c r="J17" s="72"/>
      <c r="K17" s="67"/>
      <c r="L17" s="67"/>
      <c r="M17" s="67"/>
      <c r="N17" s="67"/>
      <c r="O17" s="71">
        <v>18784.8</v>
      </c>
      <c r="P17" s="67"/>
      <c r="Q17" s="71"/>
      <c r="R17" s="67"/>
      <c r="S17" s="72"/>
      <c r="T17" s="72"/>
      <c r="U17" s="72">
        <v>17058.5</v>
      </c>
      <c r="V17" s="72">
        <f>10875.2+340.5</f>
        <v>11215.7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47059</v>
      </c>
      <c r="AG17" s="71">
        <f t="shared" si="3"/>
        <v>871.9000000000015</v>
      </c>
      <c r="AH17" s="6"/>
    </row>
    <row r="18" spans="1:33" ht="15.75">
      <c r="A18" s="3" t="s">
        <v>3</v>
      </c>
      <c r="B18" s="22">
        <v>0</v>
      </c>
      <c r="C18" s="22"/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.75">
      <c r="A19" s="3" t="s">
        <v>1</v>
      </c>
      <c r="B19" s="22">
        <v>3147.6</v>
      </c>
      <c r="C19" s="22"/>
      <c r="D19" s="67"/>
      <c r="E19" s="67"/>
      <c r="F19" s="67"/>
      <c r="G19" s="67"/>
      <c r="H19" s="67"/>
      <c r="I19" s="67"/>
      <c r="J19" s="72"/>
      <c r="K19" s="67"/>
      <c r="L19" s="67"/>
      <c r="M19" s="67"/>
      <c r="N19" s="67"/>
      <c r="O19" s="71"/>
      <c r="P19" s="67"/>
      <c r="Q19" s="71"/>
      <c r="R19" s="67">
        <v>48.9</v>
      </c>
      <c r="S19" s="72"/>
      <c r="T19" s="72">
        <v>218.8</v>
      </c>
      <c r="U19" s="72">
        <v>88.4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356.1</v>
      </c>
      <c r="AG19" s="71">
        <f t="shared" si="3"/>
        <v>2791.5</v>
      </c>
    </row>
    <row r="20" spans="1:33" ht="15.75">
      <c r="A20" s="3" t="s">
        <v>2</v>
      </c>
      <c r="B20" s="22">
        <f>3754.9-98</f>
        <v>3656.9</v>
      </c>
      <c r="C20" s="22"/>
      <c r="D20" s="67"/>
      <c r="E20" s="67"/>
      <c r="F20" s="67"/>
      <c r="G20" s="67"/>
      <c r="H20" s="67"/>
      <c r="I20" s="67"/>
      <c r="J20" s="72"/>
      <c r="K20" s="67"/>
      <c r="L20" s="67"/>
      <c r="M20" s="67"/>
      <c r="N20" s="67"/>
      <c r="O20" s="71"/>
      <c r="P20" s="67">
        <v>19.1</v>
      </c>
      <c r="Q20" s="71"/>
      <c r="R20" s="67">
        <v>640.6</v>
      </c>
      <c r="S20" s="72"/>
      <c r="T20" s="72">
        <v>125.5</v>
      </c>
      <c r="U20" s="72">
        <v>108.2</v>
      </c>
      <c r="V20" s="72">
        <v>60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953.4000000000001</v>
      </c>
      <c r="AG20" s="71">
        <f t="shared" si="3"/>
        <v>2703.5</v>
      </c>
    </row>
    <row r="21" spans="1:33" ht="15.75">
      <c r="A21" s="3" t="s">
        <v>16</v>
      </c>
      <c r="B21" s="22">
        <v>1165</v>
      </c>
      <c r="C21" s="22"/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/>
      <c r="O21" s="71"/>
      <c r="P21" s="67"/>
      <c r="Q21" s="71"/>
      <c r="R21" s="67">
        <v>874.5</v>
      </c>
      <c r="S21" s="72"/>
      <c r="T21" s="72">
        <v>251.8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1126.3</v>
      </c>
      <c r="AG21" s="71">
        <f t="shared" si="3"/>
        <v>38.700000000000045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97.79999999999518</v>
      </c>
      <c r="C23" s="22">
        <f t="shared" si="4"/>
        <v>0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0</v>
      </c>
      <c r="L23" s="67">
        <f t="shared" si="4"/>
        <v>0</v>
      </c>
      <c r="M23" s="67">
        <f t="shared" si="4"/>
        <v>0</v>
      </c>
      <c r="N23" s="67">
        <f t="shared" si="4"/>
        <v>0</v>
      </c>
      <c r="O23" s="67">
        <f t="shared" si="4"/>
        <v>3.637978807091713E-12</v>
      </c>
      <c r="P23" s="67">
        <f t="shared" si="4"/>
        <v>0</v>
      </c>
      <c r="Q23" s="67">
        <f t="shared" si="4"/>
        <v>0</v>
      </c>
      <c r="R23" s="67">
        <f t="shared" si="4"/>
        <v>-1.1368683772161603E-13</v>
      </c>
      <c r="S23" s="67">
        <f t="shared" si="4"/>
        <v>0</v>
      </c>
      <c r="T23" s="67">
        <f t="shared" si="4"/>
        <v>8.5</v>
      </c>
      <c r="U23" s="67">
        <f t="shared" si="4"/>
        <v>6.100000000000719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14.600000000004243</v>
      </c>
      <c r="AG23" s="71">
        <f t="shared" si="3"/>
        <v>83.19999999999094</v>
      </c>
    </row>
    <row r="24" spans="1:33" ht="15" customHeight="1">
      <c r="A24" s="4" t="s">
        <v>7</v>
      </c>
      <c r="B24" s="22">
        <f>33442.4-25.4</f>
        <v>33417</v>
      </c>
      <c r="C24" s="22"/>
      <c r="D24" s="67"/>
      <c r="E24" s="67"/>
      <c r="F24" s="67"/>
      <c r="G24" s="67"/>
      <c r="H24" s="67"/>
      <c r="I24" s="67"/>
      <c r="J24" s="72"/>
      <c r="K24" s="67"/>
      <c r="L24" s="67"/>
      <c r="M24" s="67"/>
      <c r="N24" s="67"/>
      <c r="O24" s="71">
        <v>10253</v>
      </c>
      <c r="P24" s="67"/>
      <c r="Q24" s="71"/>
      <c r="R24" s="71"/>
      <c r="S24" s="72"/>
      <c r="T24" s="72">
        <f>393.2+8836.7</f>
        <v>9229.900000000001</v>
      </c>
      <c r="U24" s="72">
        <f>6482.3+67.5</f>
        <v>6549.8</v>
      </c>
      <c r="V24" s="72">
        <f>34.1+83</f>
        <v>117.1</v>
      </c>
      <c r="W24" s="72">
        <v>0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26149.8</v>
      </c>
      <c r="AG24" s="71">
        <f t="shared" si="3"/>
        <v>7267.200000000001</v>
      </c>
    </row>
    <row r="25" spans="1:34" s="53" customFormat="1" ht="15" customHeight="1">
      <c r="A25" s="51" t="s">
        <v>39</v>
      </c>
      <c r="B25" s="52">
        <v>22003</v>
      </c>
      <c r="C25" s="52"/>
      <c r="D25" s="75"/>
      <c r="E25" s="75"/>
      <c r="F25" s="75"/>
      <c r="G25" s="75"/>
      <c r="H25" s="75"/>
      <c r="I25" s="75"/>
      <c r="J25" s="76"/>
      <c r="K25" s="75"/>
      <c r="L25" s="75"/>
      <c r="M25" s="75"/>
      <c r="N25" s="75"/>
      <c r="O25" s="77">
        <v>10253</v>
      </c>
      <c r="P25" s="75"/>
      <c r="Q25" s="77"/>
      <c r="R25" s="77"/>
      <c r="S25" s="76"/>
      <c r="T25" s="76">
        <v>8836.7</v>
      </c>
      <c r="U25" s="76">
        <v>67.5</v>
      </c>
      <c r="V25" s="76">
        <v>83</v>
      </c>
      <c r="W25" s="76">
        <v>81.5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19321.7</v>
      </c>
      <c r="AG25" s="78">
        <f t="shared" si="3"/>
        <v>2681.2999999999993</v>
      </c>
      <c r="AH25" s="57"/>
    </row>
    <row r="26" spans="1:34" ht="15.75" hidden="1">
      <c r="A26" s="3" t="s">
        <v>5</v>
      </c>
      <c r="B26" s="22"/>
      <c r="C26" s="2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.75" hidden="1">
      <c r="A28" s="3" t="s">
        <v>1</v>
      </c>
      <c r="B28" s="22"/>
      <c r="C28" s="2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.75" hidden="1">
      <c r="A29" s="3" t="s">
        <v>2</v>
      </c>
      <c r="B29" s="22"/>
      <c r="C29" s="2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.75" hidden="1">
      <c r="A30" s="3" t="s">
        <v>16</v>
      </c>
      <c r="B30" s="22"/>
      <c r="C30" s="2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.75">
      <c r="A32" s="3" t="s">
        <v>23</v>
      </c>
      <c r="B32" s="22">
        <f>B24</f>
        <v>33417</v>
      </c>
      <c r="C32" s="22">
        <f aca="true" t="shared" si="5" ref="C32:AD32">C24-C26-C27-C28-C29-C30-C31</f>
        <v>0</v>
      </c>
      <c r="D32" s="67">
        <f t="shared" si="5"/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10253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9229.900000000001</v>
      </c>
      <c r="U32" s="67">
        <f t="shared" si="5"/>
        <v>6549.8</v>
      </c>
      <c r="V32" s="67">
        <f t="shared" si="5"/>
        <v>117.1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26149.8</v>
      </c>
      <c r="AG32" s="71">
        <f>AG24</f>
        <v>7267.200000000001</v>
      </c>
    </row>
    <row r="33" spans="1:33" ht="15" customHeight="1">
      <c r="A33" s="4" t="s">
        <v>8</v>
      </c>
      <c r="B33" s="22">
        <f>366.5-0.7</f>
        <v>365.8</v>
      </c>
      <c r="C33" s="22"/>
      <c r="D33" s="67"/>
      <c r="E33" s="67"/>
      <c r="F33" s="67"/>
      <c r="G33" s="67"/>
      <c r="H33" s="67"/>
      <c r="I33" s="67"/>
      <c r="J33" s="72"/>
      <c r="K33" s="67"/>
      <c r="L33" s="67"/>
      <c r="M33" s="67"/>
      <c r="N33" s="67"/>
      <c r="O33" s="71"/>
      <c r="P33" s="67"/>
      <c r="Q33" s="71">
        <v>87.7</v>
      </c>
      <c r="R33" s="67"/>
      <c r="S33" s="72"/>
      <c r="T33" s="72">
        <v>79.1</v>
      </c>
      <c r="U33" s="72">
        <v>87.8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254.60000000000002</v>
      </c>
      <c r="AG33" s="71">
        <f aca="true" t="shared" si="6" ref="AG33:AG38">B33+C33-AF33</f>
        <v>111.19999999999999</v>
      </c>
    </row>
    <row r="34" spans="1:33" ht="15.75">
      <c r="A34" s="3" t="s">
        <v>5</v>
      </c>
      <c r="B34" s="22">
        <v>247.2</v>
      </c>
      <c r="C34" s="22"/>
      <c r="D34" s="67"/>
      <c r="E34" s="67"/>
      <c r="F34" s="67"/>
      <c r="G34" s="67"/>
      <c r="H34" s="67"/>
      <c r="I34" s="67"/>
      <c r="J34" s="72"/>
      <c r="K34" s="67"/>
      <c r="L34" s="67"/>
      <c r="M34" s="67"/>
      <c r="N34" s="67"/>
      <c r="O34" s="67"/>
      <c r="P34" s="67"/>
      <c r="Q34" s="71">
        <v>77.7</v>
      </c>
      <c r="R34" s="67"/>
      <c r="S34" s="72"/>
      <c r="T34" s="72">
        <v>79.1</v>
      </c>
      <c r="U34" s="72">
        <v>76.9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233.70000000000002</v>
      </c>
      <c r="AG34" s="71">
        <f t="shared" si="6"/>
        <v>13.499999999999972</v>
      </c>
    </row>
    <row r="35" spans="1:33" ht="15.75" hidden="1">
      <c r="A35" s="3" t="s">
        <v>1</v>
      </c>
      <c r="B35" s="22"/>
      <c r="C35" s="22"/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.75">
      <c r="A36" s="3" t="s">
        <v>2</v>
      </c>
      <c r="B36" s="36">
        <v>103.2</v>
      </c>
      <c r="C36" s="22"/>
      <c r="D36" s="67"/>
      <c r="E36" s="67"/>
      <c r="F36" s="67"/>
      <c r="G36" s="67"/>
      <c r="H36" s="67"/>
      <c r="I36" s="67"/>
      <c r="J36" s="72"/>
      <c r="K36" s="67"/>
      <c r="L36" s="67"/>
      <c r="M36" s="67"/>
      <c r="N36" s="67"/>
      <c r="O36" s="71"/>
      <c r="P36" s="67"/>
      <c r="Q36" s="71"/>
      <c r="R36" s="67"/>
      <c r="S36" s="72"/>
      <c r="T36" s="72"/>
      <c r="U36" s="67">
        <v>10.9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10.9</v>
      </c>
      <c r="AG36" s="71">
        <f t="shared" si="6"/>
        <v>92.3</v>
      </c>
    </row>
    <row r="37" spans="1:33" ht="15.75">
      <c r="A37" s="3" t="s">
        <v>16</v>
      </c>
      <c r="B37" s="22">
        <v>0</v>
      </c>
      <c r="C37" s="22"/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15.40000000000002</v>
      </c>
      <c r="C39" s="22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10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-8.881784197001252E-15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9.999999999999991</v>
      </c>
      <c r="AG39" s="71">
        <f>AG33-AG34-AG36-AG38-AG35-AG37</f>
        <v>5.40000000000002</v>
      </c>
    </row>
    <row r="40" spans="1:33" ht="15" customHeight="1">
      <c r="A40" s="4" t="s">
        <v>29</v>
      </c>
      <c r="B40" s="22">
        <v>982.3</v>
      </c>
      <c r="C40" s="22"/>
      <c r="D40" s="67"/>
      <c r="E40" s="67"/>
      <c r="F40" s="67"/>
      <c r="G40" s="67"/>
      <c r="H40" s="67"/>
      <c r="I40" s="67"/>
      <c r="J40" s="72"/>
      <c r="K40" s="67"/>
      <c r="L40" s="67"/>
      <c r="M40" s="67"/>
      <c r="N40" s="67"/>
      <c r="O40" s="71"/>
      <c r="P40" s="67"/>
      <c r="Q40" s="71">
        <v>237.1</v>
      </c>
      <c r="R40" s="71"/>
      <c r="S40" s="72"/>
      <c r="T40" s="72"/>
      <c r="U40" s="72">
        <v>562.8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799.9</v>
      </c>
      <c r="AG40" s="71">
        <f aca="true" t="shared" si="8" ref="AG40:AG45">B40+C40-AF40</f>
        <v>182.39999999999998</v>
      </c>
    </row>
    <row r="41" spans="1:34" ht="15.75">
      <c r="A41" s="3" t="s">
        <v>5</v>
      </c>
      <c r="B41" s="22">
        <v>834.5</v>
      </c>
      <c r="C41" s="22"/>
      <c r="D41" s="67"/>
      <c r="E41" s="67"/>
      <c r="F41" s="67"/>
      <c r="G41" s="67"/>
      <c r="H41" s="67"/>
      <c r="I41" s="67"/>
      <c r="J41" s="72"/>
      <c r="K41" s="67"/>
      <c r="L41" s="67"/>
      <c r="M41" s="67"/>
      <c r="N41" s="67"/>
      <c r="O41" s="71"/>
      <c r="P41" s="67"/>
      <c r="Q41" s="67">
        <v>237.1</v>
      </c>
      <c r="R41" s="67"/>
      <c r="S41" s="72"/>
      <c r="T41" s="72"/>
      <c r="U41" s="72">
        <v>551.8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788.9</v>
      </c>
      <c r="AG41" s="71">
        <f t="shared" si="8"/>
        <v>45.60000000000002</v>
      </c>
      <c r="AH41" s="6"/>
    </row>
    <row r="42" spans="1:33" ht="15.75" hidden="1">
      <c r="A42" s="3" t="s">
        <v>3</v>
      </c>
      <c r="B42" s="22"/>
      <c r="C42" s="22"/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aca="true" t="shared" si="9" ref="AF42:AF59">SUM(D42:AD42)</f>
        <v>0</v>
      </c>
      <c r="AG42" s="71">
        <f t="shared" si="8"/>
        <v>0</v>
      </c>
    </row>
    <row r="43" spans="1:33" ht="15.75" hidden="1">
      <c r="A43" s="3" t="s">
        <v>1</v>
      </c>
      <c r="B43" s="22"/>
      <c r="C43" s="22"/>
      <c r="D43" s="67"/>
      <c r="E43" s="67"/>
      <c r="F43" s="67"/>
      <c r="G43" s="67"/>
      <c r="H43" s="67"/>
      <c r="I43" s="67"/>
      <c r="J43" s="72"/>
      <c r="K43" s="67"/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9"/>
        <v>0</v>
      </c>
      <c r="AG43" s="71">
        <f t="shared" si="8"/>
        <v>0</v>
      </c>
    </row>
    <row r="44" spans="1:33" ht="15.75">
      <c r="A44" s="3" t="s">
        <v>2</v>
      </c>
      <c r="B44" s="22">
        <v>137.5</v>
      </c>
      <c r="C44" s="22"/>
      <c r="D44" s="67"/>
      <c r="E44" s="67"/>
      <c r="F44" s="67"/>
      <c r="G44" s="67"/>
      <c r="H44" s="67"/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7.3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9"/>
        <v>7.3</v>
      </c>
      <c r="AG44" s="71">
        <f t="shared" si="8"/>
        <v>130.2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9"/>
        <v>0</v>
      </c>
      <c r="AG45" s="71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10.299999999999955</v>
      </c>
      <c r="C46" s="22">
        <f t="shared" si="10"/>
        <v>0</v>
      </c>
      <c r="D46" s="67">
        <f t="shared" si="10"/>
        <v>0</v>
      </c>
      <c r="E46" s="67">
        <f t="shared" si="10"/>
        <v>0</v>
      </c>
      <c r="F46" s="67">
        <f t="shared" si="10"/>
        <v>0</v>
      </c>
      <c r="G46" s="67">
        <f t="shared" si="10"/>
        <v>0</v>
      </c>
      <c r="H46" s="67">
        <f t="shared" si="10"/>
        <v>0</v>
      </c>
      <c r="I46" s="67">
        <f t="shared" si="10"/>
        <v>0</v>
      </c>
      <c r="J46" s="67">
        <f t="shared" si="10"/>
        <v>0</v>
      </c>
      <c r="K46" s="67">
        <f t="shared" si="10"/>
        <v>0</v>
      </c>
      <c r="L46" s="67">
        <f t="shared" si="10"/>
        <v>0</v>
      </c>
      <c r="M46" s="67">
        <f t="shared" si="10"/>
        <v>0</v>
      </c>
      <c r="N46" s="67">
        <f t="shared" si="10"/>
        <v>0</v>
      </c>
      <c r="O46" s="67">
        <f t="shared" si="10"/>
        <v>0</v>
      </c>
      <c r="P46" s="67">
        <f t="shared" si="10"/>
        <v>0</v>
      </c>
      <c r="Q46" s="67">
        <f t="shared" si="10"/>
        <v>0</v>
      </c>
      <c r="R46" s="67">
        <f t="shared" si="10"/>
        <v>0</v>
      </c>
      <c r="S46" s="67">
        <f t="shared" si="10"/>
        <v>0</v>
      </c>
      <c r="T46" s="67">
        <f t="shared" si="10"/>
        <v>0</v>
      </c>
      <c r="U46" s="67">
        <f t="shared" si="10"/>
        <v>3.7</v>
      </c>
      <c r="V46" s="67">
        <f t="shared" si="10"/>
        <v>0</v>
      </c>
      <c r="W46" s="67">
        <f t="shared" si="10"/>
        <v>0</v>
      </c>
      <c r="X46" s="67">
        <f t="shared" si="10"/>
        <v>0</v>
      </c>
      <c r="Y46" s="67">
        <f t="shared" si="10"/>
        <v>0</v>
      </c>
      <c r="Z46" s="67">
        <f t="shared" si="10"/>
        <v>0</v>
      </c>
      <c r="AA46" s="67">
        <f t="shared" si="10"/>
        <v>0</v>
      </c>
      <c r="AB46" s="67">
        <f t="shared" si="10"/>
        <v>0</v>
      </c>
      <c r="AC46" s="67">
        <f t="shared" si="10"/>
        <v>0</v>
      </c>
      <c r="AD46" s="67">
        <f t="shared" si="10"/>
        <v>0</v>
      </c>
      <c r="AE46" s="67"/>
      <c r="AF46" s="71">
        <f t="shared" si="9"/>
        <v>3.7</v>
      </c>
      <c r="AG46" s="71">
        <f>AG40-AG41-AG42-AG43-AG44-AG45</f>
        <v>6.599999999999966</v>
      </c>
    </row>
    <row r="47" spans="1:33" ht="17.25" customHeight="1">
      <c r="A47" s="4" t="s">
        <v>43</v>
      </c>
      <c r="B47" s="29">
        <v>866.7</v>
      </c>
      <c r="C47" s="22"/>
      <c r="D47" s="67"/>
      <c r="E47" s="79"/>
      <c r="F47" s="79"/>
      <c r="G47" s="79"/>
      <c r="H47" s="79"/>
      <c r="I47" s="79"/>
      <c r="J47" s="80"/>
      <c r="K47" s="79"/>
      <c r="L47" s="79"/>
      <c r="M47" s="79"/>
      <c r="N47" s="79"/>
      <c r="O47" s="81">
        <v>144.5</v>
      </c>
      <c r="P47" s="79"/>
      <c r="Q47" s="79"/>
      <c r="R47" s="79">
        <v>120.5</v>
      </c>
      <c r="S47" s="80"/>
      <c r="T47" s="80">
        <v>0.1</v>
      </c>
      <c r="U47" s="79"/>
      <c r="V47" s="79">
        <v>30.9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9"/>
        <v>296</v>
      </c>
      <c r="AG47" s="71">
        <f>B47+C47-AF47</f>
        <v>570.7</v>
      </c>
    </row>
    <row r="48" spans="1:33" ht="15.75">
      <c r="A48" s="3" t="s">
        <v>5</v>
      </c>
      <c r="B48" s="22">
        <v>0</v>
      </c>
      <c r="C48" s="22"/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9"/>
        <v>0</v>
      </c>
      <c r="AG48" s="71">
        <f>B48+C48-AF48</f>
        <v>0</v>
      </c>
    </row>
    <row r="49" spans="1:33" ht="15.75">
      <c r="A49" s="3" t="s">
        <v>16</v>
      </c>
      <c r="B49" s="22">
        <v>565.6</v>
      </c>
      <c r="C49" s="22"/>
      <c r="D49" s="67"/>
      <c r="E49" s="67"/>
      <c r="F49" s="67"/>
      <c r="G49" s="67"/>
      <c r="H49" s="67"/>
      <c r="I49" s="67"/>
      <c r="J49" s="72"/>
      <c r="K49" s="67"/>
      <c r="L49" s="67"/>
      <c r="M49" s="67"/>
      <c r="N49" s="67"/>
      <c r="O49" s="71">
        <v>144.4</v>
      </c>
      <c r="P49" s="67"/>
      <c r="Q49" s="67"/>
      <c r="R49" s="67">
        <v>120.5</v>
      </c>
      <c r="S49" s="72"/>
      <c r="T49" s="72">
        <v>0.1</v>
      </c>
      <c r="U49" s="67"/>
      <c r="V49" s="67">
        <v>30.9</v>
      </c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9"/>
        <v>295.9</v>
      </c>
      <c r="AG49" s="71">
        <f>B49+C49-AF49</f>
        <v>269.70000000000005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9"/>
        <v>0</v>
      </c>
      <c r="AG50" s="71">
        <f>B50+C50-AF50</f>
        <v>0</v>
      </c>
    </row>
    <row r="51" spans="1:33" ht="15.75">
      <c r="A51" s="48" t="s">
        <v>23</v>
      </c>
      <c r="B51" s="22">
        <f aca="true" t="shared" si="11" ref="B51:AD51">B47-B48-B49</f>
        <v>301.1</v>
      </c>
      <c r="C51" s="22">
        <f t="shared" si="11"/>
        <v>0</v>
      </c>
      <c r="D51" s="67">
        <f t="shared" si="11"/>
        <v>0</v>
      </c>
      <c r="E51" s="67">
        <f t="shared" si="11"/>
        <v>0</v>
      </c>
      <c r="F51" s="67">
        <f t="shared" si="11"/>
        <v>0</v>
      </c>
      <c r="G51" s="67">
        <f t="shared" si="11"/>
        <v>0</v>
      </c>
      <c r="H51" s="67">
        <f t="shared" si="11"/>
        <v>0</v>
      </c>
      <c r="I51" s="67">
        <f t="shared" si="11"/>
        <v>0</v>
      </c>
      <c r="J51" s="67">
        <f t="shared" si="11"/>
        <v>0</v>
      </c>
      <c r="K51" s="67">
        <f t="shared" si="11"/>
        <v>0</v>
      </c>
      <c r="L51" s="67">
        <f t="shared" si="11"/>
        <v>0</v>
      </c>
      <c r="M51" s="67">
        <f t="shared" si="11"/>
        <v>0</v>
      </c>
      <c r="N51" s="67">
        <f t="shared" si="11"/>
        <v>0</v>
      </c>
      <c r="O51" s="67">
        <f t="shared" si="11"/>
        <v>0.09999999999999432</v>
      </c>
      <c r="P51" s="67">
        <f t="shared" si="11"/>
        <v>0</v>
      </c>
      <c r="Q51" s="67">
        <f t="shared" si="11"/>
        <v>0</v>
      </c>
      <c r="R51" s="67">
        <f t="shared" si="11"/>
        <v>0</v>
      </c>
      <c r="S51" s="67">
        <f t="shared" si="11"/>
        <v>0</v>
      </c>
      <c r="T51" s="67">
        <f t="shared" si="11"/>
        <v>0</v>
      </c>
      <c r="U51" s="67">
        <f t="shared" si="11"/>
        <v>0</v>
      </c>
      <c r="V51" s="67">
        <f t="shared" si="11"/>
        <v>0</v>
      </c>
      <c r="W51" s="67">
        <f t="shared" si="11"/>
        <v>0</v>
      </c>
      <c r="X51" s="67">
        <f t="shared" si="11"/>
        <v>0</v>
      </c>
      <c r="Y51" s="67">
        <f t="shared" si="11"/>
        <v>0</v>
      </c>
      <c r="Z51" s="67">
        <f t="shared" si="11"/>
        <v>0</v>
      </c>
      <c r="AA51" s="67">
        <f t="shared" si="11"/>
        <v>0</v>
      </c>
      <c r="AB51" s="67">
        <f t="shared" si="11"/>
        <v>0</v>
      </c>
      <c r="AC51" s="67">
        <f t="shared" si="11"/>
        <v>0</v>
      </c>
      <c r="AD51" s="67">
        <f t="shared" si="11"/>
        <v>0</v>
      </c>
      <c r="AE51" s="67"/>
      <c r="AF51" s="71">
        <f t="shared" si="9"/>
        <v>0.09999999999999432</v>
      </c>
      <c r="AG51" s="71">
        <f>AG47-AG49-AG48</f>
        <v>301</v>
      </c>
    </row>
    <row r="52" spans="1:33" ht="15" customHeight="1">
      <c r="A52" s="4" t="s">
        <v>0</v>
      </c>
      <c r="B52" s="22">
        <f>2841.3-97.3+528.7</f>
        <v>3272.7</v>
      </c>
      <c r="C52" s="22"/>
      <c r="D52" s="67"/>
      <c r="E52" s="67"/>
      <c r="F52" s="67"/>
      <c r="G52" s="67"/>
      <c r="H52" s="67"/>
      <c r="I52" s="67"/>
      <c r="J52" s="72"/>
      <c r="K52" s="67"/>
      <c r="L52" s="67"/>
      <c r="M52" s="67"/>
      <c r="N52" s="67"/>
      <c r="O52" s="71"/>
      <c r="P52" s="67"/>
      <c r="Q52" s="67"/>
      <c r="R52" s="67">
        <v>627.6</v>
      </c>
      <c r="S52" s="72">
        <v>194.6</v>
      </c>
      <c r="T52" s="72"/>
      <c r="U52" s="72">
        <v>194.6</v>
      </c>
      <c r="V52" s="72">
        <v>1234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9"/>
        <v>2250.8</v>
      </c>
      <c r="AG52" s="71">
        <f aca="true" t="shared" si="12" ref="AG52:AG59">B52+C52-AF52</f>
        <v>1021.8999999999996</v>
      </c>
    </row>
    <row r="53" spans="1:33" ht="15" customHeight="1">
      <c r="A53" s="3" t="s">
        <v>2</v>
      </c>
      <c r="B53" s="22">
        <f>967.9-67.9+528.7</f>
        <v>1428.7</v>
      </c>
      <c r="C53" s="22"/>
      <c r="D53" s="67"/>
      <c r="E53" s="67"/>
      <c r="F53" s="67"/>
      <c r="G53" s="67"/>
      <c r="H53" s="67"/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>
        <v>194.6</v>
      </c>
      <c r="T53" s="72"/>
      <c r="U53" s="72"/>
      <c r="V53" s="72">
        <v>1234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9"/>
        <v>1428.6</v>
      </c>
      <c r="AG53" s="71">
        <f t="shared" si="12"/>
        <v>0.10000000000013642</v>
      </c>
    </row>
    <row r="54" spans="1:34" ht="15" customHeight="1">
      <c r="A54" s="4" t="s">
        <v>9</v>
      </c>
      <c r="B54" s="36">
        <f>1783.6+4.1</f>
        <v>1787.6999999999998</v>
      </c>
      <c r="C54" s="22"/>
      <c r="D54" s="67"/>
      <c r="E54" s="67"/>
      <c r="F54" s="67"/>
      <c r="G54" s="67"/>
      <c r="H54" s="67"/>
      <c r="I54" s="67"/>
      <c r="J54" s="72"/>
      <c r="K54" s="67"/>
      <c r="L54" s="67"/>
      <c r="M54" s="67"/>
      <c r="N54" s="67"/>
      <c r="O54" s="71"/>
      <c r="P54" s="67">
        <v>364.6</v>
      </c>
      <c r="Q54" s="71">
        <v>44.8</v>
      </c>
      <c r="R54" s="67">
        <v>35.8</v>
      </c>
      <c r="S54" s="72"/>
      <c r="T54" s="72">
        <v>191.3</v>
      </c>
      <c r="U54" s="72">
        <v>646.1</v>
      </c>
      <c r="V54" s="72">
        <v>25.1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9"/>
        <v>1307.6999999999998</v>
      </c>
      <c r="AG54" s="67">
        <f t="shared" si="12"/>
        <v>480</v>
      </c>
      <c r="AH54" s="6"/>
    </row>
    <row r="55" spans="1:34" ht="15.75">
      <c r="A55" s="3" t="s">
        <v>5</v>
      </c>
      <c r="B55" s="22">
        <v>944.5</v>
      </c>
      <c r="C55" s="22"/>
      <c r="D55" s="67"/>
      <c r="E55" s="67"/>
      <c r="F55" s="67"/>
      <c r="G55" s="67"/>
      <c r="H55" s="67"/>
      <c r="I55" s="67"/>
      <c r="J55" s="72"/>
      <c r="K55" s="67"/>
      <c r="L55" s="67"/>
      <c r="M55" s="67"/>
      <c r="N55" s="67"/>
      <c r="O55" s="71"/>
      <c r="P55" s="67">
        <v>364.6</v>
      </c>
      <c r="Q55" s="71"/>
      <c r="R55" s="67"/>
      <c r="S55" s="72"/>
      <c r="T55" s="72"/>
      <c r="U55" s="72">
        <v>548.1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9"/>
        <v>912.7</v>
      </c>
      <c r="AG55" s="67">
        <f t="shared" si="12"/>
        <v>31.799999999999955</v>
      </c>
      <c r="AH55" s="6"/>
    </row>
    <row r="56" spans="1:34" ht="15" customHeight="1" hidden="1">
      <c r="A56" s="3" t="s">
        <v>1</v>
      </c>
      <c r="B56" s="22"/>
      <c r="C56" s="22"/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9"/>
        <v>0</v>
      </c>
      <c r="AG56" s="67">
        <f t="shared" si="12"/>
        <v>0</v>
      </c>
      <c r="AH56" s="6"/>
    </row>
    <row r="57" spans="1:33" ht="15.75">
      <c r="A57" s="3" t="s">
        <v>2</v>
      </c>
      <c r="B57" s="29">
        <v>177.1</v>
      </c>
      <c r="C57" s="22"/>
      <c r="D57" s="67"/>
      <c r="E57" s="67"/>
      <c r="F57" s="67"/>
      <c r="G57" s="67"/>
      <c r="H57" s="67"/>
      <c r="I57" s="67"/>
      <c r="J57" s="72"/>
      <c r="K57" s="67"/>
      <c r="L57" s="67"/>
      <c r="M57" s="67"/>
      <c r="N57" s="67"/>
      <c r="O57" s="71"/>
      <c r="P57" s="67"/>
      <c r="Q57" s="71"/>
      <c r="R57" s="67"/>
      <c r="S57" s="72"/>
      <c r="T57" s="72"/>
      <c r="U57" s="72">
        <v>0.3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9"/>
        <v>0.3</v>
      </c>
      <c r="AG57" s="67">
        <f t="shared" si="12"/>
        <v>176.79999999999998</v>
      </c>
    </row>
    <row r="58" spans="1:33" ht="15.75">
      <c r="A58" s="3" t="s">
        <v>16</v>
      </c>
      <c r="B58" s="29">
        <v>5.1</v>
      </c>
      <c r="C58" s="22"/>
      <c r="D58" s="67"/>
      <c r="E58" s="67"/>
      <c r="F58" s="67"/>
      <c r="G58" s="67"/>
      <c r="H58" s="67"/>
      <c r="I58" s="67"/>
      <c r="J58" s="72"/>
      <c r="K58" s="67"/>
      <c r="L58" s="67"/>
      <c r="M58" s="67"/>
      <c r="N58" s="67"/>
      <c r="O58" s="71"/>
      <c r="P58" s="67"/>
      <c r="Q58" s="71"/>
      <c r="R58" s="67">
        <v>5.1</v>
      </c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9"/>
        <v>5.1</v>
      </c>
      <c r="AG58" s="67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9"/>
        <v>0</v>
      </c>
      <c r="AG59" s="67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660.9999999999998</v>
      </c>
      <c r="C60" s="22">
        <f t="shared" si="13"/>
        <v>0</v>
      </c>
      <c r="D60" s="67">
        <f t="shared" si="13"/>
        <v>0</v>
      </c>
      <c r="E60" s="67">
        <f t="shared" si="13"/>
        <v>0</v>
      </c>
      <c r="F60" s="67">
        <f t="shared" si="13"/>
        <v>0</v>
      </c>
      <c r="G60" s="67">
        <f t="shared" si="13"/>
        <v>0</v>
      </c>
      <c r="H60" s="67">
        <f t="shared" si="13"/>
        <v>0</v>
      </c>
      <c r="I60" s="67">
        <f t="shared" si="13"/>
        <v>0</v>
      </c>
      <c r="J60" s="67">
        <f t="shared" si="13"/>
        <v>0</v>
      </c>
      <c r="K60" s="67">
        <f t="shared" si="13"/>
        <v>0</v>
      </c>
      <c r="L60" s="67">
        <f t="shared" si="13"/>
        <v>0</v>
      </c>
      <c r="M60" s="67">
        <f t="shared" si="13"/>
        <v>0</v>
      </c>
      <c r="N60" s="67">
        <f t="shared" si="13"/>
        <v>0</v>
      </c>
      <c r="O60" s="67">
        <f t="shared" si="13"/>
        <v>0</v>
      </c>
      <c r="P60" s="67">
        <f t="shared" si="13"/>
        <v>0</v>
      </c>
      <c r="Q60" s="67">
        <f t="shared" si="13"/>
        <v>44.8</v>
      </c>
      <c r="R60" s="67">
        <f t="shared" si="13"/>
        <v>30.699999999999996</v>
      </c>
      <c r="S60" s="67">
        <f t="shared" si="13"/>
        <v>0</v>
      </c>
      <c r="T60" s="67">
        <f t="shared" si="13"/>
        <v>191.3</v>
      </c>
      <c r="U60" s="67">
        <f t="shared" si="13"/>
        <v>97.7</v>
      </c>
      <c r="V60" s="67">
        <f t="shared" si="13"/>
        <v>25.1</v>
      </c>
      <c r="W60" s="67">
        <f t="shared" si="13"/>
        <v>0</v>
      </c>
      <c r="X60" s="67">
        <f t="shared" si="13"/>
        <v>0</v>
      </c>
      <c r="Y60" s="67">
        <f t="shared" si="13"/>
        <v>0</v>
      </c>
      <c r="Z60" s="67">
        <f t="shared" si="13"/>
        <v>0</v>
      </c>
      <c r="AA60" s="67">
        <f t="shared" si="13"/>
        <v>0</v>
      </c>
      <c r="AB60" s="67">
        <f t="shared" si="13"/>
        <v>0</v>
      </c>
      <c r="AC60" s="67">
        <f t="shared" si="13"/>
        <v>0</v>
      </c>
      <c r="AD60" s="67">
        <f t="shared" si="13"/>
        <v>0</v>
      </c>
      <c r="AE60" s="67"/>
      <c r="AF60" s="67">
        <f>AF54-AF55-AF57-AF59-AF56-AF58</f>
        <v>389.59999999999974</v>
      </c>
      <c r="AG60" s="67">
        <f>AG54-AG55-AG57-AG59-AG56-AG58</f>
        <v>271.4000000000001</v>
      </c>
    </row>
    <row r="61" spans="1:33" ht="15" customHeight="1">
      <c r="A61" s="4" t="s">
        <v>10</v>
      </c>
      <c r="B61" s="22">
        <f>173.8-5.5</f>
        <v>168.3</v>
      </c>
      <c r="C61" s="22"/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>
        <v>63.9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4" ref="AF61:AF92">SUM(D61:AD61)</f>
        <v>63.9</v>
      </c>
      <c r="AG61" s="67">
        <f aca="true" t="shared" si="15" ref="AG61:AG67">B61+C61-AF61</f>
        <v>104.4</v>
      </c>
    </row>
    <row r="62" spans="1:33" ht="15" customHeight="1">
      <c r="A62" s="4" t="s">
        <v>11</v>
      </c>
      <c r="B62" s="22">
        <f>2152.8-3</f>
        <v>2149.8</v>
      </c>
      <c r="C62" s="22"/>
      <c r="D62" s="67"/>
      <c r="E62" s="67"/>
      <c r="F62" s="67"/>
      <c r="G62" s="67"/>
      <c r="H62" s="67"/>
      <c r="I62" s="67"/>
      <c r="J62" s="72"/>
      <c r="K62" s="67"/>
      <c r="L62" s="67"/>
      <c r="M62" s="67"/>
      <c r="N62" s="67"/>
      <c r="O62" s="71"/>
      <c r="P62" s="67">
        <v>632.9</v>
      </c>
      <c r="Q62" s="71"/>
      <c r="R62" s="67"/>
      <c r="S62" s="72"/>
      <c r="T62" s="72">
        <v>35.2</v>
      </c>
      <c r="U62" s="72">
        <v>911.5</v>
      </c>
      <c r="V62" s="72">
        <v>180.2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4"/>
        <v>1759.8</v>
      </c>
      <c r="AG62" s="67">
        <f t="shared" si="15"/>
        <v>390.0000000000002</v>
      </c>
    </row>
    <row r="63" spans="1:34" ht="15.75">
      <c r="A63" s="3" t="s">
        <v>5</v>
      </c>
      <c r="B63" s="22">
        <v>1512.6</v>
      </c>
      <c r="C63" s="22"/>
      <c r="D63" s="67"/>
      <c r="E63" s="67"/>
      <c r="F63" s="67"/>
      <c r="G63" s="67"/>
      <c r="H63" s="67"/>
      <c r="I63" s="67"/>
      <c r="J63" s="72"/>
      <c r="K63" s="67"/>
      <c r="L63" s="67"/>
      <c r="M63" s="67"/>
      <c r="N63" s="67"/>
      <c r="O63" s="71"/>
      <c r="P63" s="67">
        <v>632.9</v>
      </c>
      <c r="Q63" s="71"/>
      <c r="R63" s="67"/>
      <c r="S63" s="72"/>
      <c r="T63" s="72">
        <v>34.3</v>
      </c>
      <c r="U63" s="72">
        <v>767.3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4"/>
        <v>1434.5</v>
      </c>
      <c r="AG63" s="67">
        <f t="shared" si="15"/>
        <v>78.09999999999991</v>
      </c>
      <c r="AH63" s="50"/>
    </row>
    <row r="64" spans="1:34" ht="15.75" hidden="1">
      <c r="A64" s="3" t="s">
        <v>3</v>
      </c>
      <c r="B64" s="22"/>
      <c r="C64" s="22"/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4"/>
        <v>0</v>
      </c>
      <c r="AG64" s="67">
        <f t="shared" si="15"/>
        <v>0</v>
      </c>
      <c r="AH64" s="6"/>
    </row>
    <row r="65" spans="1:34" ht="15.75">
      <c r="A65" s="3" t="s">
        <v>1</v>
      </c>
      <c r="B65" s="22">
        <v>31.6</v>
      </c>
      <c r="C65" s="22"/>
      <c r="D65" s="67"/>
      <c r="E65" s="67"/>
      <c r="F65" s="67"/>
      <c r="G65" s="67"/>
      <c r="H65" s="67"/>
      <c r="I65" s="67"/>
      <c r="J65" s="72"/>
      <c r="K65" s="67"/>
      <c r="L65" s="67"/>
      <c r="M65" s="67"/>
      <c r="N65" s="67"/>
      <c r="O65" s="71"/>
      <c r="P65" s="67"/>
      <c r="Q65" s="71"/>
      <c r="R65" s="67"/>
      <c r="S65" s="72"/>
      <c r="T65" s="72">
        <v>0.2</v>
      </c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4"/>
        <v>0.2</v>
      </c>
      <c r="AG65" s="67">
        <f t="shared" si="15"/>
        <v>31.400000000000002</v>
      </c>
      <c r="AH65" s="6"/>
    </row>
    <row r="66" spans="1:33" ht="15.75">
      <c r="A66" s="3" t="s">
        <v>2</v>
      </c>
      <c r="B66" s="22">
        <v>87.1</v>
      </c>
      <c r="C66" s="22"/>
      <c r="D66" s="67"/>
      <c r="E66" s="67"/>
      <c r="F66" s="67"/>
      <c r="G66" s="67"/>
      <c r="H66" s="67"/>
      <c r="I66" s="67"/>
      <c r="J66" s="72"/>
      <c r="K66" s="67"/>
      <c r="L66" s="67"/>
      <c r="M66" s="67"/>
      <c r="N66" s="67"/>
      <c r="O66" s="71"/>
      <c r="P66" s="67"/>
      <c r="Q66" s="67"/>
      <c r="R66" s="67"/>
      <c r="S66" s="72"/>
      <c r="T66" s="72">
        <v>0.2</v>
      </c>
      <c r="U66" s="72">
        <v>0.5</v>
      </c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4"/>
        <v>0.7</v>
      </c>
      <c r="AG66" s="67">
        <f t="shared" si="15"/>
        <v>86.39999999999999</v>
      </c>
    </row>
    <row r="67" spans="1:33" ht="15.75">
      <c r="A67" s="3" t="s">
        <v>16</v>
      </c>
      <c r="B67" s="22">
        <v>110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4"/>
        <v>0</v>
      </c>
      <c r="AG67" s="67">
        <f t="shared" si="15"/>
        <v>110</v>
      </c>
    </row>
    <row r="68" spans="1:33" ht="15.75">
      <c r="A68" s="3" t="s">
        <v>23</v>
      </c>
      <c r="B68" s="22">
        <f aca="true" t="shared" si="16" ref="B68:AD68">B62-B63-B66-B67-B65-B64</f>
        <v>408.5000000000002</v>
      </c>
      <c r="C68" s="22">
        <f t="shared" si="16"/>
        <v>0</v>
      </c>
      <c r="D68" s="67">
        <f t="shared" si="16"/>
        <v>0</v>
      </c>
      <c r="E68" s="67">
        <f t="shared" si="16"/>
        <v>0</v>
      </c>
      <c r="F68" s="67">
        <f t="shared" si="16"/>
        <v>0</v>
      </c>
      <c r="G68" s="67">
        <f t="shared" si="16"/>
        <v>0</v>
      </c>
      <c r="H68" s="67">
        <f t="shared" si="16"/>
        <v>0</v>
      </c>
      <c r="I68" s="67">
        <f t="shared" si="16"/>
        <v>0</v>
      </c>
      <c r="J68" s="67">
        <f t="shared" si="16"/>
        <v>0</v>
      </c>
      <c r="K68" s="67">
        <f t="shared" si="16"/>
        <v>0</v>
      </c>
      <c r="L68" s="67">
        <f t="shared" si="16"/>
        <v>0</v>
      </c>
      <c r="M68" s="67">
        <f t="shared" si="16"/>
        <v>0</v>
      </c>
      <c r="N68" s="67">
        <f t="shared" si="16"/>
        <v>0</v>
      </c>
      <c r="O68" s="67">
        <f t="shared" si="16"/>
        <v>0</v>
      </c>
      <c r="P68" s="67">
        <f t="shared" si="16"/>
        <v>0</v>
      </c>
      <c r="Q68" s="67">
        <f t="shared" si="16"/>
        <v>0</v>
      </c>
      <c r="R68" s="67">
        <f t="shared" si="16"/>
        <v>0</v>
      </c>
      <c r="S68" s="67">
        <f t="shared" si="16"/>
        <v>0</v>
      </c>
      <c r="T68" s="67">
        <f t="shared" si="16"/>
        <v>0.5000000000000058</v>
      </c>
      <c r="U68" s="67">
        <f t="shared" si="16"/>
        <v>143.70000000000005</v>
      </c>
      <c r="V68" s="67">
        <f t="shared" si="16"/>
        <v>180.2</v>
      </c>
      <c r="W68" s="67">
        <f t="shared" si="16"/>
        <v>0</v>
      </c>
      <c r="X68" s="67">
        <f t="shared" si="16"/>
        <v>0</v>
      </c>
      <c r="Y68" s="67">
        <f t="shared" si="16"/>
        <v>0</v>
      </c>
      <c r="Z68" s="67">
        <f t="shared" si="16"/>
        <v>0</v>
      </c>
      <c r="AA68" s="67">
        <f t="shared" si="16"/>
        <v>0</v>
      </c>
      <c r="AB68" s="67">
        <f t="shared" si="16"/>
        <v>0</v>
      </c>
      <c r="AC68" s="67">
        <f t="shared" si="16"/>
        <v>0</v>
      </c>
      <c r="AD68" s="67">
        <f t="shared" si="16"/>
        <v>0</v>
      </c>
      <c r="AE68" s="67"/>
      <c r="AF68" s="71">
        <f t="shared" si="14"/>
        <v>324.40000000000003</v>
      </c>
      <c r="AG68" s="67">
        <f>AG62-AG63-AG66-AG67-AG65-AG64</f>
        <v>84.10000000000034</v>
      </c>
    </row>
    <row r="69" spans="1:33" ht="31.5">
      <c r="A69" s="4" t="s">
        <v>45</v>
      </c>
      <c r="B69" s="22">
        <v>3529.6</v>
      </c>
      <c r="C69" s="22"/>
      <c r="D69" s="67"/>
      <c r="E69" s="67"/>
      <c r="F69" s="67"/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/>
      <c r="R69" s="67">
        <v>3529.6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4"/>
        <v>3529.6</v>
      </c>
      <c r="AG69" s="82">
        <f aca="true" t="shared" si="17" ref="AG69:AG92">B69+C69-AF69</f>
        <v>0</v>
      </c>
    </row>
    <row r="70" spans="1:33" ht="15.7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4"/>
        <v>0</v>
      </c>
      <c r="AG70" s="82">
        <f t="shared" si="17"/>
        <v>0</v>
      </c>
    </row>
    <row r="71" spans="1:50" ht="31.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4"/>
        <v>0</v>
      </c>
      <c r="AG71" s="82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f>971.5-29.8</f>
        <v>941.7</v>
      </c>
      <c r="C72" s="22"/>
      <c r="D72" s="67"/>
      <c r="E72" s="67"/>
      <c r="F72" s="67"/>
      <c r="G72" s="67"/>
      <c r="H72" s="67"/>
      <c r="I72" s="67"/>
      <c r="J72" s="72"/>
      <c r="K72" s="67"/>
      <c r="L72" s="67"/>
      <c r="M72" s="67"/>
      <c r="N72" s="67"/>
      <c r="O72" s="67"/>
      <c r="P72" s="67"/>
      <c r="Q72" s="71"/>
      <c r="R72" s="67"/>
      <c r="S72" s="72">
        <v>0</v>
      </c>
      <c r="T72" s="72">
        <v>170.5</v>
      </c>
      <c r="U72" s="72">
        <v>40</v>
      </c>
      <c r="V72" s="72">
        <v>4.2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4"/>
        <v>214.7</v>
      </c>
      <c r="AG72" s="82">
        <f t="shared" si="17"/>
        <v>727</v>
      </c>
    </row>
    <row r="73" spans="1:33" ht="15" customHeight="1">
      <c r="A73" s="3" t="s">
        <v>5</v>
      </c>
      <c r="B73" s="22">
        <v>43.2</v>
      </c>
      <c r="C73" s="22"/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4"/>
        <v>0</v>
      </c>
      <c r="AG73" s="82">
        <f t="shared" si="17"/>
        <v>43.2</v>
      </c>
    </row>
    <row r="74" spans="1:33" ht="15" customHeight="1">
      <c r="A74" s="3" t="s">
        <v>2</v>
      </c>
      <c r="B74" s="22">
        <v>175.8</v>
      </c>
      <c r="C74" s="22"/>
      <c r="D74" s="67"/>
      <c r="E74" s="67"/>
      <c r="F74" s="67"/>
      <c r="G74" s="67"/>
      <c r="H74" s="67"/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4"/>
        <v>0</v>
      </c>
      <c r="AG74" s="82">
        <f t="shared" si="17"/>
        <v>175.8</v>
      </c>
    </row>
    <row r="75" spans="1:33" ht="15" customHeight="1">
      <c r="A75" s="3" t="s">
        <v>16</v>
      </c>
      <c r="B75" s="22">
        <v>7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>
        <v>7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4"/>
        <v>7</v>
      </c>
      <c r="AG75" s="82">
        <f t="shared" si="17"/>
        <v>0</v>
      </c>
    </row>
    <row r="76" spans="1:33" s="11" customFormat="1" ht="15.75">
      <c r="A76" s="12" t="s">
        <v>48</v>
      </c>
      <c r="B76" s="22">
        <f>15.1+126-8.4</f>
        <v>132.7</v>
      </c>
      <c r="C76" s="22"/>
      <c r="D76" s="67"/>
      <c r="E76" s="79"/>
      <c r="F76" s="79"/>
      <c r="G76" s="79"/>
      <c r="H76" s="79"/>
      <c r="I76" s="79"/>
      <c r="J76" s="80"/>
      <c r="K76" s="79"/>
      <c r="L76" s="79"/>
      <c r="M76" s="79"/>
      <c r="N76" s="79"/>
      <c r="O76" s="79"/>
      <c r="P76" s="79"/>
      <c r="Q76" s="81"/>
      <c r="R76" s="79"/>
      <c r="S76" s="80">
        <v>107.3</v>
      </c>
      <c r="T76" s="80">
        <v>0.4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4"/>
        <v>107.7</v>
      </c>
      <c r="AG76" s="82">
        <f t="shared" si="17"/>
        <v>24.999999999999986</v>
      </c>
    </row>
    <row r="77" spans="1:33" s="11" customFormat="1" ht="15.75">
      <c r="A77" s="3" t="s">
        <v>5</v>
      </c>
      <c r="B77" s="22">
        <v>115.1</v>
      </c>
      <c r="C77" s="22"/>
      <c r="D77" s="67"/>
      <c r="E77" s="79"/>
      <c r="F77" s="79"/>
      <c r="G77" s="79"/>
      <c r="H77" s="79"/>
      <c r="I77" s="79"/>
      <c r="J77" s="80"/>
      <c r="K77" s="79"/>
      <c r="L77" s="79"/>
      <c r="M77" s="79"/>
      <c r="N77" s="79"/>
      <c r="O77" s="79"/>
      <c r="P77" s="79"/>
      <c r="Q77" s="81"/>
      <c r="R77" s="79"/>
      <c r="S77" s="80">
        <v>107.3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4"/>
        <v>107.3</v>
      </c>
      <c r="AG77" s="82">
        <f t="shared" si="17"/>
        <v>7.799999999999997</v>
      </c>
    </row>
    <row r="78" spans="1:33" s="11" customFormat="1" ht="15.75" hidden="1">
      <c r="A78" s="3" t="s">
        <v>3</v>
      </c>
      <c r="B78" s="22"/>
      <c r="C78" s="22"/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4"/>
        <v>0</v>
      </c>
      <c r="AG78" s="82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4"/>
        <v>0</v>
      </c>
      <c r="AG79" s="82">
        <f t="shared" si="17"/>
        <v>0</v>
      </c>
    </row>
    <row r="80" spans="1:33" s="11" customFormat="1" ht="15.75">
      <c r="A80" s="3" t="s">
        <v>2</v>
      </c>
      <c r="B80" s="22">
        <v>8</v>
      </c>
      <c r="C80" s="22"/>
      <c r="D80" s="67"/>
      <c r="E80" s="79"/>
      <c r="F80" s="79"/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>
        <v>0.4</v>
      </c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4"/>
        <v>0.4</v>
      </c>
      <c r="AG80" s="82">
        <f t="shared" si="17"/>
        <v>7.6</v>
      </c>
    </row>
    <row r="81" spans="1:33" s="11" customFormat="1" ht="15.75">
      <c r="A81" s="12" t="s">
        <v>49</v>
      </c>
      <c r="B81" s="22">
        <v>0</v>
      </c>
      <c r="C81" s="24"/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4"/>
        <v>0</v>
      </c>
      <c r="AG81" s="82">
        <f t="shared" si="17"/>
        <v>0</v>
      </c>
    </row>
    <row r="82" spans="1:33" s="11" customFormat="1" ht="15.7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4"/>
        <v>0</v>
      </c>
      <c r="AG82" s="82">
        <f t="shared" si="17"/>
        <v>0</v>
      </c>
    </row>
    <row r="83" spans="1:33" s="11" customFormat="1" ht="15.7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4"/>
        <v>0</v>
      </c>
      <c r="AG83" s="67">
        <f t="shared" si="17"/>
        <v>0</v>
      </c>
    </row>
    <row r="84" spans="1:33" s="11" customFormat="1" ht="15.7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4"/>
        <v>0</v>
      </c>
      <c r="AG84" s="67">
        <f t="shared" si="17"/>
        <v>0</v>
      </c>
    </row>
    <row r="85" spans="1:33" s="11" customFormat="1" ht="15.7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4"/>
        <v>0</v>
      </c>
      <c r="AG85" s="67">
        <f t="shared" si="17"/>
        <v>0</v>
      </c>
    </row>
    <row r="86" spans="1:33" s="11" customFormat="1" ht="31.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4"/>
        <v>0</v>
      </c>
      <c r="AG86" s="67">
        <f t="shared" si="17"/>
        <v>0</v>
      </c>
    </row>
    <row r="87" spans="1:33" s="11" customFormat="1" ht="31.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4"/>
        <v>0</v>
      </c>
      <c r="AG87" s="67">
        <f t="shared" si="17"/>
        <v>0</v>
      </c>
    </row>
    <row r="88" spans="1:34" ht="15.7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4"/>
        <v>0</v>
      </c>
      <c r="AG88" s="67">
        <f t="shared" si="17"/>
        <v>0</v>
      </c>
      <c r="AH88" s="11"/>
    </row>
    <row r="89" spans="1:35" ht="15.75">
      <c r="A89" s="4" t="s">
        <v>50</v>
      </c>
      <c r="B89" s="22">
        <f>3250-528.7</f>
        <v>2721.3</v>
      </c>
      <c r="C89" s="22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72">
        <v>254.7</v>
      </c>
      <c r="T89" s="72">
        <v>197.5</v>
      </c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4"/>
        <v>452.2</v>
      </c>
      <c r="AG89" s="67">
        <f t="shared" si="17"/>
        <v>2269.1000000000004</v>
      </c>
      <c r="AH89" s="11"/>
      <c r="AI89" s="86"/>
    </row>
    <row r="90" spans="1:34" ht="15.75">
      <c r="A90" s="4" t="s">
        <v>51</v>
      </c>
      <c r="B90" s="22">
        <f>2457.1+1062.3</f>
        <v>3519.3999999999996</v>
      </c>
      <c r="C90" s="22"/>
      <c r="D90" s="67"/>
      <c r="E90" s="67"/>
      <c r="F90" s="67"/>
      <c r="G90" s="67"/>
      <c r="H90" s="67"/>
      <c r="I90" s="67"/>
      <c r="J90" s="67"/>
      <c r="K90" s="67"/>
      <c r="L90" s="67"/>
      <c r="M90" s="67">
        <v>819</v>
      </c>
      <c r="N90" s="67"/>
      <c r="O90" s="67">
        <v>819</v>
      </c>
      <c r="P90" s="67"/>
      <c r="Q90" s="67"/>
      <c r="R90" s="67"/>
      <c r="S90" s="72"/>
      <c r="T90" s="72"/>
      <c r="U90" s="67"/>
      <c r="V90" s="67"/>
      <c r="W90" s="67">
        <f>819.1+1062.3</f>
        <v>1881.4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4"/>
        <v>3519.4</v>
      </c>
      <c r="AG90" s="67">
        <f t="shared" si="17"/>
        <v>0</v>
      </c>
      <c r="AH90" s="11"/>
    </row>
    <row r="91" spans="1:34" ht="15.75">
      <c r="A91" s="4" t="s">
        <v>25</v>
      </c>
      <c r="B91" s="22">
        <f>76.1-25.2</f>
        <v>50.89999999999999</v>
      </c>
      <c r="C91" s="22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4"/>
        <v>0</v>
      </c>
      <c r="AG91" s="67">
        <f t="shared" si="17"/>
        <v>50.89999999999999</v>
      </c>
      <c r="AH91" s="11"/>
    </row>
    <row r="92" spans="1:34" ht="15.75">
      <c r="A92" s="4" t="s">
        <v>37</v>
      </c>
      <c r="B92" s="22">
        <v>0</v>
      </c>
      <c r="C92" s="22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4"/>
        <v>0</v>
      </c>
      <c r="AG92" s="67">
        <f t="shared" si="17"/>
        <v>0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8" ref="B94:Y94">B10+B15+B24+B33+B47+B52+B54+B61+B62+B69+B71+B72+B76+B81+B82+B83+B88+B89+B90+B91+B40+B92+B70</f>
        <v>123241.9</v>
      </c>
      <c r="C94" s="35">
        <f t="shared" si="18"/>
        <v>0</v>
      </c>
      <c r="D94" s="83">
        <f t="shared" si="18"/>
        <v>0</v>
      </c>
      <c r="E94" s="83">
        <f t="shared" si="18"/>
        <v>0</v>
      </c>
      <c r="F94" s="83">
        <f t="shared" si="18"/>
        <v>0</v>
      </c>
      <c r="G94" s="83">
        <f t="shared" si="18"/>
        <v>0</v>
      </c>
      <c r="H94" s="83">
        <f t="shared" si="18"/>
        <v>0</v>
      </c>
      <c r="I94" s="83">
        <f t="shared" si="18"/>
        <v>0</v>
      </c>
      <c r="J94" s="83">
        <f t="shared" si="18"/>
        <v>0</v>
      </c>
      <c r="K94" s="83">
        <f t="shared" si="18"/>
        <v>0</v>
      </c>
      <c r="L94" s="83">
        <f t="shared" si="18"/>
        <v>0</v>
      </c>
      <c r="M94" s="83">
        <f t="shared" si="18"/>
        <v>819</v>
      </c>
      <c r="N94" s="83">
        <f t="shared" si="18"/>
        <v>3076.1</v>
      </c>
      <c r="O94" s="83">
        <f t="shared" si="18"/>
        <v>31191.4</v>
      </c>
      <c r="P94" s="83">
        <f t="shared" si="18"/>
        <v>1102</v>
      </c>
      <c r="Q94" s="83">
        <f t="shared" si="18"/>
        <v>389.20000000000005</v>
      </c>
      <c r="R94" s="83">
        <f t="shared" si="18"/>
        <v>5882.700000000001</v>
      </c>
      <c r="S94" s="83">
        <f t="shared" si="18"/>
        <v>1369.1000000000001</v>
      </c>
      <c r="T94" s="83">
        <f t="shared" si="18"/>
        <v>11709.800000000001</v>
      </c>
      <c r="U94" s="83">
        <f t="shared" si="18"/>
        <v>31759.899999999998</v>
      </c>
      <c r="V94" s="83">
        <f t="shared" si="18"/>
        <v>13766.000000000002</v>
      </c>
      <c r="W94" s="83">
        <f t="shared" si="18"/>
        <v>1882</v>
      </c>
      <c r="X94" s="83">
        <f t="shared" si="18"/>
        <v>0</v>
      </c>
      <c r="Y94" s="83">
        <f t="shared" si="18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102947.19999999998</v>
      </c>
      <c r="AG94" s="84">
        <f>AG10+AG15+AG24+AG33+AG47+AG52+AG54+AG61+AG62+AG69+AG71+AG72+AG76+AG81+AG82+AG83+AG88+AG89+AG90+AG91+AG70+AG40+AG92</f>
        <v>20294.70000000001</v>
      </c>
    </row>
    <row r="95" spans="1:33" ht="15.75">
      <c r="A95" s="3" t="s">
        <v>5</v>
      </c>
      <c r="B95" s="22">
        <f aca="true" t="shared" si="19" ref="B95:AD95">B11+B17+B26+B34+B55+B63+B73+B41+B77+B48</f>
        <v>64560.79999999999</v>
      </c>
      <c r="C95" s="22">
        <f t="shared" si="19"/>
        <v>0</v>
      </c>
      <c r="D95" s="67">
        <f t="shared" si="19"/>
        <v>0</v>
      </c>
      <c r="E95" s="67">
        <f t="shared" si="19"/>
        <v>0</v>
      </c>
      <c r="F95" s="67">
        <f t="shared" si="19"/>
        <v>0</v>
      </c>
      <c r="G95" s="67">
        <f t="shared" si="19"/>
        <v>0</v>
      </c>
      <c r="H95" s="67">
        <f t="shared" si="19"/>
        <v>0</v>
      </c>
      <c r="I95" s="67">
        <f t="shared" si="19"/>
        <v>0</v>
      </c>
      <c r="J95" s="67">
        <f t="shared" si="19"/>
        <v>0</v>
      </c>
      <c r="K95" s="67">
        <f t="shared" si="19"/>
        <v>0</v>
      </c>
      <c r="L95" s="67">
        <f t="shared" si="19"/>
        <v>0</v>
      </c>
      <c r="M95" s="67">
        <f t="shared" si="19"/>
        <v>0</v>
      </c>
      <c r="N95" s="67">
        <f t="shared" si="19"/>
        <v>3071.3</v>
      </c>
      <c r="O95" s="67">
        <f t="shared" si="19"/>
        <v>19974.899999999998</v>
      </c>
      <c r="P95" s="67">
        <f t="shared" si="19"/>
        <v>1075.4</v>
      </c>
      <c r="Q95" s="67">
        <f t="shared" si="19"/>
        <v>314.8</v>
      </c>
      <c r="R95" s="67">
        <f t="shared" si="19"/>
        <v>0</v>
      </c>
      <c r="S95" s="67">
        <f t="shared" si="19"/>
        <v>917.4</v>
      </c>
      <c r="T95" s="67">
        <f t="shared" si="19"/>
        <v>1292.4999999999998</v>
      </c>
      <c r="U95" s="67">
        <f t="shared" si="19"/>
        <v>24437.5</v>
      </c>
      <c r="V95" s="67">
        <f t="shared" si="19"/>
        <v>12057</v>
      </c>
      <c r="W95" s="67">
        <f t="shared" si="19"/>
        <v>0</v>
      </c>
      <c r="X95" s="67">
        <f t="shared" si="19"/>
        <v>0</v>
      </c>
      <c r="Y95" s="67">
        <f t="shared" si="19"/>
        <v>0</v>
      </c>
      <c r="Z95" s="67">
        <f t="shared" si="19"/>
        <v>0</v>
      </c>
      <c r="AA95" s="67">
        <f t="shared" si="19"/>
        <v>0</v>
      </c>
      <c r="AB95" s="67">
        <f t="shared" si="19"/>
        <v>0</v>
      </c>
      <c r="AC95" s="67">
        <f t="shared" si="19"/>
        <v>0</v>
      </c>
      <c r="AD95" s="67">
        <f t="shared" si="19"/>
        <v>0</v>
      </c>
      <c r="AE95" s="67"/>
      <c r="AF95" s="67">
        <f>SUM(D95:AD95)</f>
        <v>63140.8</v>
      </c>
      <c r="AG95" s="71">
        <f>B95+C95-AF95</f>
        <v>1419.9999999999854</v>
      </c>
    </row>
    <row r="96" spans="1:33" ht="15.75">
      <c r="A96" s="3" t="s">
        <v>2</v>
      </c>
      <c r="B96" s="22">
        <f aca="true" t="shared" si="20" ref="B96:AD96">B12+B20+B29+B36+B57+B66+B44+B80+B74+B53</f>
        <v>5945.3</v>
      </c>
      <c r="C96" s="22">
        <f t="shared" si="20"/>
        <v>0</v>
      </c>
      <c r="D96" s="67">
        <f t="shared" si="20"/>
        <v>0</v>
      </c>
      <c r="E96" s="67">
        <f t="shared" si="20"/>
        <v>0</v>
      </c>
      <c r="F96" s="67">
        <f t="shared" si="20"/>
        <v>0</v>
      </c>
      <c r="G96" s="67">
        <f t="shared" si="20"/>
        <v>0</v>
      </c>
      <c r="H96" s="67">
        <f t="shared" si="20"/>
        <v>0</v>
      </c>
      <c r="I96" s="67">
        <f t="shared" si="20"/>
        <v>0</v>
      </c>
      <c r="J96" s="67">
        <f t="shared" si="20"/>
        <v>0</v>
      </c>
      <c r="K96" s="67">
        <f t="shared" si="20"/>
        <v>0</v>
      </c>
      <c r="L96" s="67">
        <f t="shared" si="20"/>
        <v>0</v>
      </c>
      <c r="M96" s="67">
        <f t="shared" si="20"/>
        <v>0</v>
      </c>
      <c r="N96" s="67">
        <f t="shared" si="20"/>
        <v>0</v>
      </c>
      <c r="O96" s="67">
        <f t="shared" si="20"/>
        <v>0</v>
      </c>
      <c r="P96" s="67">
        <f t="shared" si="20"/>
        <v>19.1</v>
      </c>
      <c r="Q96" s="67">
        <f t="shared" si="20"/>
        <v>0</v>
      </c>
      <c r="R96" s="67">
        <f t="shared" si="20"/>
        <v>640.6</v>
      </c>
      <c r="S96" s="67">
        <f t="shared" si="20"/>
        <v>194.6</v>
      </c>
      <c r="T96" s="67">
        <f t="shared" si="20"/>
        <v>126.10000000000001</v>
      </c>
      <c r="U96" s="67">
        <f t="shared" si="20"/>
        <v>127.2</v>
      </c>
      <c r="V96" s="67">
        <f t="shared" si="20"/>
        <v>1351.2</v>
      </c>
      <c r="W96" s="67">
        <f t="shared" si="20"/>
        <v>0</v>
      </c>
      <c r="X96" s="67">
        <f t="shared" si="20"/>
        <v>0</v>
      </c>
      <c r="Y96" s="67">
        <f t="shared" si="20"/>
        <v>0</v>
      </c>
      <c r="Z96" s="67">
        <f t="shared" si="20"/>
        <v>0</v>
      </c>
      <c r="AA96" s="67">
        <f t="shared" si="20"/>
        <v>0</v>
      </c>
      <c r="AB96" s="67">
        <f t="shared" si="20"/>
        <v>0</v>
      </c>
      <c r="AC96" s="67">
        <f t="shared" si="20"/>
        <v>0</v>
      </c>
      <c r="AD96" s="67">
        <f t="shared" si="20"/>
        <v>0</v>
      </c>
      <c r="AE96" s="67"/>
      <c r="AF96" s="67">
        <f>SUM(D96:AD96)</f>
        <v>2458.8</v>
      </c>
      <c r="AG96" s="71">
        <f>B96+C96-AF96</f>
        <v>3486.5</v>
      </c>
    </row>
    <row r="97" spans="1:33" ht="15.75">
      <c r="A97" s="3" t="s">
        <v>3</v>
      </c>
      <c r="B97" s="22">
        <f aca="true" t="shared" si="21" ref="B97:AA97">B18+B27+B42+B64+B78</f>
        <v>0</v>
      </c>
      <c r="C97" s="22">
        <f t="shared" si="21"/>
        <v>0</v>
      </c>
      <c r="D97" s="67">
        <f t="shared" si="21"/>
        <v>0</v>
      </c>
      <c r="E97" s="67">
        <f t="shared" si="21"/>
        <v>0</v>
      </c>
      <c r="F97" s="67">
        <f t="shared" si="21"/>
        <v>0</v>
      </c>
      <c r="G97" s="67">
        <f t="shared" si="21"/>
        <v>0</v>
      </c>
      <c r="H97" s="67">
        <f t="shared" si="21"/>
        <v>0</v>
      </c>
      <c r="I97" s="67">
        <f t="shared" si="21"/>
        <v>0</v>
      </c>
      <c r="J97" s="67">
        <f t="shared" si="21"/>
        <v>0</v>
      </c>
      <c r="K97" s="67">
        <f t="shared" si="21"/>
        <v>0</v>
      </c>
      <c r="L97" s="67">
        <f t="shared" si="21"/>
        <v>0</v>
      </c>
      <c r="M97" s="67">
        <f t="shared" si="21"/>
        <v>0</v>
      </c>
      <c r="N97" s="67">
        <f t="shared" si="21"/>
        <v>0</v>
      </c>
      <c r="O97" s="67">
        <f t="shared" si="21"/>
        <v>0</v>
      </c>
      <c r="P97" s="67">
        <f t="shared" si="21"/>
        <v>0</v>
      </c>
      <c r="Q97" s="67">
        <f t="shared" si="21"/>
        <v>0</v>
      </c>
      <c r="R97" s="67">
        <f t="shared" si="21"/>
        <v>0</v>
      </c>
      <c r="S97" s="67">
        <f t="shared" si="21"/>
        <v>0</v>
      </c>
      <c r="T97" s="67">
        <f t="shared" si="21"/>
        <v>0</v>
      </c>
      <c r="U97" s="67">
        <f t="shared" si="21"/>
        <v>0</v>
      </c>
      <c r="V97" s="67">
        <f t="shared" si="21"/>
        <v>0</v>
      </c>
      <c r="W97" s="67">
        <f t="shared" si="21"/>
        <v>0</v>
      </c>
      <c r="X97" s="67">
        <f t="shared" si="21"/>
        <v>0</v>
      </c>
      <c r="Y97" s="67">
        <f t="shared" si="21"/>
        <v>0</v>
      </c>
      <c r="Z97" s="67">
        <f t="shared" si="21"/>
        <v>0</v>
      </c>
      <c r="AA97" s="67">
        <f t="shared" si="21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2" ref="B98:AD98">B19+B28+B65+B35+B43+B56+B79</f>
        <v>3179.2</v>
      </c>
      <c r="C98" s="22">
        <f t="shared" si="22"/>
        <v>0</v>
      </c>
      <c r="D98" s="67">
        <f t="shared" si="22"/>
        <v>0</v>
      </c>
      <c r="E98" s="67">
        <f t="shared" si="22"/>
        <v>0</v>
      </c>
      <c r="F98" s="67">
        <f t="shared" si="22"/>
        <v>0</v>
      </c>
      <c r="G98" s="67">
        <f t="shared" si="22"/>
        <v>0</v>
      </c>
      <c r="H98" s="67">
        <f t="shared" si="22"/>
        <v>0</v>
      </c>
      <c r="I98" s="67">
        <f t="shared" si="22"/>
        <v>0</v>
      </c>
      <c r="J98" s="67">
        <f t="shared" si="22"/>
        <v>0</v>
      </c>
      <c r="K98" s="67">
        <f t="shared" si="22"/>
        <v>0</v>
      </c>
      <c r="L98" s="67">
        <f t="shared" si="22"/>
        <v>0</v>
      </c>
      <c r="M98" s="67">
        <f t="shared" si="22"/>
        <v>0</v>
      </c>
      <c r="N98" s="67">
        <f t="shared" si="22"/>
        <v>0</v>
      </c>
      <c r="O98" s="67">
        <f t="shared" si="22"/>
        <v>0</v>
      </c>
      <c r="P98" s="67">
        <f t="shared" si="22"/>
        <v>0</v>
      </c>
      <c r="Q98" s="67">
        <f t="shared" si="22"/>
        <v>0</v>
      </c>
      <c r="R98" s="67">
        <f t="shared" si="22"/>
        <v>48.9</v>
      </c>
      <c r="S98" s="67">
        <f t="shared" si="22"/>
        <v>0</v>
      </c>
      <c r="T98" s="67">
        <f t="shared" si="22"/>
        <v>219</v>
      </c>
      <c r="U98" s="67">
        <f t="shared" si="22"/>
        <v>88.4</v>
      </c>
      <c r="V98" s="67">
        <f t="shared" si="22"/>
        <v>0</v>
      </c>
      <c r="W98" s="67">
        <f t="shared" si="22"/>
        <v>0</v>
      </c>
      <c r="X98" s="67">
        <f t="shared" si="22"/>
        <v>0</v>
      </c>
      <c r="Y98" s="67">
        <f t="shared" si="22"/>
        <v>0</v>
      </c>
      <c r="Z98" s="67">
        <f t="shared" si="22"/>
        <v>0</v>
      </c>
      <c r="AA98" s="67">
        <f t="shared" si="22"/>
        <v>0</v>
      </c>
      <c r="AB98" s="67">
        <f t="shared" si="22"/>
        <v>0</v>
      </c>
      <c r="AC98" s="67">
        <f t="shared" si="22"/>
        <v>0</v>
      </c>
      <c r="AD98" s="67">
        <f t="shared" si="22"/>
        <v>0</v>
      </c>
      <c r="AE98" s="67"/>
      <c r="AF98" s="67">
        <f>SUM(D98:AD98)</f>
        <v>356.29999999999995</v>
      </c>
      <c r="AG98" s="71">
        <f>B98+C98-AF98</f>
        <v>2822.8999999999996</v>
      </c>
    </row>
    <row r="99" spans="1:33" ht="15.75">
      <c r="A99" s="3" t="s">
        <v>16</v>
      </c>
      <c r="B99" s="22">
        <f aca="true" t="shared" si="23" ref="B99:X99">B21+B30+B49+B37+B58+B13+B75+B67</f>
        <v>1852.6999999999998</v>
      </c>
      <c r="C99" s="22">
        <f t="shared" si="23"/>
        <v>0</v>
      </c>
      <c r="D99" s="67">
        <f t="shared" si="23"/>
        <v>0</v>
      </c>
      <c r="E99" s="67">
        <f t="shared" si="23"/>
        <v>0</v>
      </c>
      <c r="F99" s="67">
        <f t="shared" si="23"/>
        <v>0</v>
      </c>
      <c r="G99" s="67">
        <f t="shared" si="23"/>
        <v>0</v>
      </c>
      <c r="H99" s="67">
        <f t="shared" si="23"/>
        <v>0</v>
      </c>
      <c r="I99" s="67">
        <f t="shared" si="23"/>
        <v>0</v>
      </c>
      <c r="J99" s="67">
        <f t="shared" si="23"/>
        <v>0</v>
      </c>
      <c r="K99" s="67">
        <f t="shared" si="23"/>
        <v>0</v>
      </c>
      <c r="L99" s="67">
        <f t="shared" si="23"/>
        <v>0</v>
      </c>
      <c r="M99" s="67">
        <f t="shared" si="23"/>
        <v>0</v>
      </c>
      <c r="N99" s="67">
        <f t="shared" si="23"/>
        <v>0</v>
      </c>
      <c r="O99" s="67">
        <f t="shared" si="23"/>
        <v>144.4</v>
      </c>
      <c r="P99" s="67">
        <f t="shared" si="23"/>
        <v>0</v>
      </c>
      <c r="Q99" s="67">
        <f t="shared" si="23"/>
        <v>0</v>
      </c>
      <c r="R99" s="67">
        <f t="shared" si="23"/>
        <v>1000.1</v>
      </c>
      <c r="S99" s="67">
        <f t="shared" si="23"/>
        <v>0</v>
      </c>
      <c r="T99" s="67">
        <f t="shared" si="23"/>
        <v>258.9</v>
      </c>
      <c r="U99" s="67">
        <f t="shared" si="23"/>
        <v>0</v>
      </c>
      <c r="V99" s="67">
        <f t="shared" si="23"/>
        <v>30.9</v>
      </c>
      <c r="W99" s="67">
        <f t="shared" si="23"/>
        <v>0</v>
      </c>
      <c r="X99" s="67">
        <f t="shared" si="23"/>
        <v>0</v>
      </c>
      <c r="Y99" s="67">
        <f aca="true" t="shared" si="24" ref="Y99:AD99">Y21+Y30+Y49+Y37+Y58+Y13+Y75</f>
        <v>0</v>
      </c>
      <c r="Z99" s="67">
        <f t="shared" si="24"/>
        <v>0</v>
      </c>
      <c r="AA99" s="67">
        <f t="shared" si="24"/>
        <v>0</v>
      </c>
      <c r="AB99" s="67">
        <f t="shared" si="24"/>
        <v>0</v>
      </c>
      <c r="AC99" s="67">
        <f t="shared" si="24"/>
        <v>0</v>
      </c>
      <c r="AD99" s="67">
        <f t="shared" si="24"/>
        <v>0</v>
      </c>
      <c r="AE99" s="67"/>
      <c r="AF99" s="67">
        <f>SUM(D99:AD99)</f>
        <v>1434.3000000000002</v>
      </c>
      <c r="AG99" s="71">
        <f>B99+C99-AF99</f>
        <v>418.39999999999964</v>
      </c>
    </row>
    <row r="100" spans="1:33" ht="12.75">
      <c r="A100" s="1" t="s">
        <v>35</v>
      </c>
      <c r="B100" s="2">
        <f aca="true" t="shared" si="25" ref="B100:AD100">B94-B95-B96-B97-B98-B99</f>
        <v>47703.90000000001</v>
      </c>
      <c r="C100" s="2">
        <f t="shared" si="25"/>
        <v>0</v>
      </c>
      <c r="D100" s="85">
        <f t="shared" si="25"/>
        <v>0</v>
      </c>
      <c r="E100" s="85">
        <f t="shared" si="25"/>
        <v>0</v>
      </c>
      <c r="F100" s="85">
        <f t="shared" si="25"/>
        <v>0</v>
      </c>
      <c r="G100" s="85">
        <f t="shared" si="25"/>
        <v>0</v>
      </c>
      <c r="H100" s="85">
        <f t="shared" si="25"/>
        <v>0</v>
      </c>
      <c r="I100" s="85">
        <f t="shared" si="25"/>
        <v>0</v>
      </c>
      <c r="J100" s="85">
        <f t="shared" si="25"/>
        <v>0</v>
      </c>
      <c r="K100" s="85">
        <f t="shared" si="25"/>
        <v>0</v>
      </c>
      <c r="L100" s="85">
        <f t="shared" si="25"/>
        <v>0</v>
      </c>
      <c r="M100" s="85">
        <f t="shared" si="25"/>
        <v>819</v>
      </c>
      <c r="N100" s="85">
        <f t="shared" si="25"/>
        <v>4.799999999999727</v>
      </c>
      <c r="O100" s="85">
        <f t="shared" si="25"/>
        <v>11072.100000000004</v>
      </c>
      <c r="P100" s="85">
        <f t="shared" si="25"/>
        <v>7.499999999999908</v>
      </c>
      <c r="Q100" s="85">
        <f t="shared" si="25"/>
        <v>74.40000000000003</v>
      </c>
      <c r="R100" s="85">
        <f t="shared" si="25"/>
        <v>4193.1</v>
      </c>
      <c r="S100" s="85">
        <f t="shared" si="25"/>
        <v>257.10000000000014</v>
      </c>
      <c r="T100" s="85">
        <f t="shared" si="25"/>
        <v>9813.300000000001</v>
      </c>
      <c r="U100" s="85">
        <f t="shared" si="25"/>
        <v>7106.799999999998</v>
      </c>
      <c r="V100" s="85">
        <f t="shared" si="25"/>
        <v>326.9000000000018</v>
      </c>
      <c r="W100" s="85">
        <f t="shared" si="25"/>
        <v>1882</v>
      </c>
      <c r="X100" s="85">
        <f t="shared" si="25"/>
        <v>0</v>
      </c>
      <c r="Y100" s="85">
        <f t="shared" si="25"/>
        <v>0</v>
      </c>
      <c r="Z100" s="85">
        <f t="shared" si="25"/>
        <v>0</v>
      </c>
      <c r="AA100" s="85">
        <f t="shared" si="25"/>
        <v>0</v>
      </c>
      <c r="AB100" s="85">
        <f t="shared" si="25"/>
        <v>0</v>
      </c>
      <c r="AC100" s="85">
        <f t="shared" si="25"/>
        <v>0</v>
      </c>
      <c r="AD100" s="85">
        <f t="shared" si="25"/>
        <v>0</v>
      </c>
      <c r="AE100" s="85"/>
      <c r="AF100" s="85">
        <f>AF94-AF95-AF96-AF97-AF98-AF99</f>
        <v>35556.99999999997</v>
      </c>
      <c r="AG100" s="85">
        <f>AG94-AG95-AG96-AG97-AG98-AG99</f>
        <v>12146.900000000027</v>
      </c>
    </row>
    <row r="101" spans="1:33" s="32" customFormat="1" ht="15.7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23">
      <pane xSplit="1" topLeftCell="B1" activePane="topRight" state="frozen"/>
      <selection pane="topLeft" activeCell="A1" sqref="A1"/>
      <selection pane="topRight" activeCell="B71" sqref="B7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10.625" style="0" customWidth="1"/>
    <col min="12" max="12" width="9.875" style="18" bestFit="1" customWidth="1"/>
    <col min="13" max="13" width="9.00390625" style="0" customWidth="1"/>
    <col min="14" max="14" width="8.25390625" style="0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10.87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2.1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0" t="s">
        <v>12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</row>
    <row r="2" spans="1:33" ht="22.5" customHeight="1">
      <c r="A2" s="161" t="s">
        <v>70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71</v>
      </c>
      <c r="C4" s="90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19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8">
        <v>27</v>
      </c>
      <c r="W4" s="8">
        <v>28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34874.4</v>
      </c>
      <c r="C7" s="129">
        <v>13091.150000000009</v>
      </c>
      <c r="D7" s="38"/>
      <c r="E7" s="38">
        <v>17437.2</v>
      </c>
      <c r="F7" s="38"/>
      <c r="G7" s="38"/>
      <c r="H7" s="56"/>
      <c r="I7" s="38"/>
      <c r="J7" s="39">
        <v>17437.2</v>
      </c>
      <c r="K7" s="38"/>
      <c r="L7" s="39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C7+E7+J7-AF16-AF25</f>
        <v>10314.350000000013</v>
      </c>
      <c r="AF7" s="54"/>
      <c r="AG7" s="40"/>
    </row>
    <row r="8" spans="1:55" ht="18" customHeight="1">
      <c r="A8" s="47" t="s">
        <v>30</v>
      </c>
      <c r="B8" s="33">
        <f>SUM(E8:AB8)</f>
        <v>99960.09999999999</v>
      </c>
      <c r="C8" s="103">
        <v>175461.74000000005</v>
      </c>
      <c r="D8" s="59">
        <v>6401.4</v>
      </c>
      <c r="E8" s="60">
        <v>2153.6</v>
      </c>
      <c r="F8" s="137">
        <v>2023.2</v>
      </c>
      <c r="G8" s="137">
        <v>5378.3</v>
      </c>
      <c r="H8" s="137">
        <v>6050.5</v>
      </c>
      <c r="I8" s="137">
        <v>11858.7</v>
      </c>
      <c r="J8" s="138">
        <v>1813.1</v>
      </c>
      <c r="K8" s="138">
        <v>1597</v>
      </c>
      <c r="L8" s="138">
        <v>1630.3</v>
      </c>
      <c r="M8" s="137">
        <v>2971</v>
      </c>
      <c r="N8" s="137">
        <v>12919.8</v>
      </c>
      <c r="O8" s="137">
        <v>3599.7</v>
      </c>
      <c r="P8" s="137">
        <v>2470.8</v>
      </c>
      <c r="Q8" s="137">
        <v>3399.6</v>
      </c>
      <c r="R8" s="137">
        <v>6982.7</v>
      </c>
      <c r="S8" s="63">
        <v>8922.4</v>
      </c>
      <c r="T8" s="63">
        <v>6877.2</v>
      </c>
      <c r="U8" s="61">
        <v>2563</v>
      </c>
      <c r="V8" s="61">
        <v>5659.4</v>
      </c>
      <c r="W8" s="61">
        <v>11089.8</v>
      </c>
      <c r="X8" s="62"/>
      <c r="Y8" s="62"/>
      <c r="Z8" s="62"/>
      <c r="AA8" s="62"/>
      <c r="AB8" s="61"/>
      <c r="AC8" s="64"/>
      <c r="AD8" s="64"/>
      <c r="AE8" s="65">
        <f>SUM(D8:AD8)+C8-AF9+AF16+AF25</f>
        <v>157804.54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104">
        <f>B10+B15+B24+B33+B47+B52+B54+B61+B62+B71+B72+B88+B76+B81+B83+B82+B69+B89+B90+B91+B70+B40+B92</f>
        <v>161416.09403</v>
      </c>
      <c r="C9" s="104">
        <f aca="true" t="shared" si="0" ref="C9:AD9">C10+C15+C24+C33+C47+C52+C54+C61+C62+C71+C72+C88+C76+C81+C83+C82+C69+C89+C90+C91+C70+C40+C92</f>
        <v>159530.52548999997</v>
      </c>
      <c r="D9" s="68">
        <f t="shared" si="0"/>
        <v>1436.5</v>
      </c>
      <c r="E9" s="68">
        <f t="shared" si="0"/>
        <v>381.20000000000005</v>
      </c>
      <c r="F9" s="68">
        <f t="shared" si="0"/>
        <v>2441.8</v>
      </c>
      <c r="G9" s="68">
        <f t="shared" si="0"/>
        <v>2569.4</v>
      </c>
      <c r="H9" s="68">
        <f t="shared" si="0"/>
        <v>8748.5</v>
      </c>
      <c r="I9" s="68">
        <f t="shared" si="0"/>
        <v>2859.7</v>
      </c>
      <c r="J9" s="104">
        <f t="shared" si="0"/>
        <v>6129.9</v>
      </c>
      <c r="K9" s="68">
        <f t="shared" si="0"/>
        <v>35739.8</v>
      </c>
      <c r="L9" s="104">
        <f>L10+L15+L24+L33+L47+L52+L54+L61+L62+L71+L72+L88+L76+L81+L83+L82+L69+L89+L90+L91+L70+L40+L92</f>
        <v>13879.300000000001</v>
      </c>
      <c r="M9" s="68">
        <f t="shared" si="0"/>
        <v>2683</v>
      </c>
      <c r="N9" s="68">
        <f t="shared" si="0"/>
        <v>1741.0999999999997</v>
      </c>
      <c r="O9" s="68">
        <f t="shared" si="0"/>
        <v>4721.4</v>
      </c>
      <c r="P9" s="68">
        <f t="shared" si="0"/>
        <v>4995.799999999999</v>
      </c>
      <c r="Q9" s="68">
        <f t="shared" si="0"/>
        <v>5927.5</v>
      </c>
      <c r="R9" s="68">
        <f t="shared" si="0"/>
        <v>2698.6</v>
      </c>
      <c r="S9" s="68">
        <f t="shared" si="0"/>
        <v>7874.200000000001</v>
      </c>
      <c r="T9" s="68">
        <f t="shared" si="0"/>
        <v>3831.4</v>
      </c>
      <c r="U9" s="68">
        <f t="shared" si="0"/>
        <v>0</v>
      </c>
      <c r="V9" s="68">
        <f t="shared" si="0"/>
        <v>51961.8</v>
      </c>
      <c r="W9" s="68">
        <f t="shared" si="0"/>
        <v>1049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161669.90000000002</v>
      </c>
      <c r="AG9" s="69">
        <f>AG10+AG15+AG24+AG33+AG47+AG52+AG54+AG61+AG62+AG71+AG72+AG76+AG88+AG81+AG83+AG82+AG69+AG89+AG91+AG90+AG70+AG40+AG92</f>
        <v>159276.71951999996</v>
      </c>
      <c r="AH9" s="41"/>
      <c r="AI9" s="41"/>
    </row>
    <row r="10" spans="1:34" ht="15.75">
      <c r="A10" s="4" t="s">
        <v>4</v>
      </c>
      <c r="B10" s="72">
        <f>15343.297+260+352+191</f>
        <v>16146.297</v>
      </c>
      <c r="C10" s="72">
        <v>4921</v>
      </c>
      <c r="D10" s="67">
        <v>496.4</v>
      </c>
      <c r="E10" s="67">
        <v>30.3</v>
      </c>
      <c r="F10" s="67">
        <v>101.3</v>
      </c>
      <c r="G10" s="67">
        <v>14</v>
      </c>
      <c r="H10" s="67">
        <v>241</v>
      </c>
      <c r="I10" s="67">
        <v>62</v>
      </c>
      <c r="J10" s="70">
        <v>596</v>
      </c>
      <c r="K10" s="67">
        <v>2209.2</v>
      </c>
      <c r="L10" s="72">
        <v>2782.9</v>
      </c>
      <c r="M10" s="67">
        <v>33</v>
      </c>
      <c r="N10" s="67">
        <v>3.8</v>
      </c>
      <c r="O10" s="71">
        <v>29.5</v>
      </c>
      <c r="P10" s="67">
        <v>6.9</v>
      </c>
      <c r="Q10" s="67">
        <v>18.4</v>
      </c>
      <c r="R10" s="67">
        <v>25.7</v>
      </c>
      <c r="S10" s="72">
        <v>13.2</v>
      </c>
      <c r="T10" s="72">
        <v>199.5</v>
      </c>
      <c r="U10" s="72"/>
      <c r="V10" s="72">
        <v>8134.6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>SUM(D10:AD10)</f>
        <v>14997.7</v>
      </c>
      <c r="AG10" s="72">
        <f>B10+C10-AF10</f>
        <v>6069.596999999998</v>
      </c>
      <c r="AH10" s="18"/>
    </row>
    <row r="11" spans="1:34" ht="15.75">
      <c r="A11" s="3" t="s">
        <v>5</v>
      </c>
      <c r="B11" s="72">
        <f>14535.475+191</f>
        <v>14726.475</v>
      </c>
      <c r="C11" s="72">
        <v>3453.0200000000004</v>
      </c>
      <c r="D11" s="67">
        <v>496.4</v>
      </c>
      <c r="E11" s="67">
        <v>25</v>
      </c>
      <c r="F11" s="67"/>
      <c r="G11" s="67">
        <v>11.9</v>
      </c>
      <c r="H11" s="67"/>
      <c r="I11" s="67">
        <v>23.7</v>
      </c>
      <c r="J11" s="72">
        <v>513.9</v>
      </c>
      <c r="K11" s="67">
        <v>2201.7</v>
      </c>
      <c r="L11" s="72">
        <v>2748.7</v>
      </c>
      <c r="M11" s="67">
        <v>2.9</v>
      </c>
      <c r="N11" s="67"/>
      <c r="O11" s="71">
        <v>27.9</v>
      </c>
      <c r="P11" s="67">
        <v>5.7</v>
      </c>
      <c r="Q11" s="67">
        <v>0.4</v>
      </c>
      <c r="R11" s="67"/>
      <c r="S11" s="72"/>
      <c r="T11" s="72"/>
      <c r="U11" s="72"/>
      <c r="V11" s="72">
        <v>8110.6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14168.8</v>
      </c>
      <c r="AG11" s="72">
        <f>B11+C11-AF11</f>
        <v>4010.6950000000033</v>
      </c>
      <c r="AH11" s="18"/>
    </row>
    <row r="12" spans="1:34" ht="15.75">
      <c r="A12" s="3" t="s">
        <v>2</v>
      </c>
      <c r="B12" s="70">
        <v>98.55</v>
      </c>
      <c r="C12" s="72">
        <v>277.19999999999993</v>
      </c>
      <c r="D12" s="67"/>
      <c r="E12" s="67">
        <v>0.7</v>
      </c>
      <c r="F12" s="67">
        <v>4.5</v>
      </c>
      <c r="G12" s="67"/>
      <c r="H12" s="67"/>
      <c r="I12" s="67">
        <v>1</v>
      </c>
      <c r="J12" s="72">
        <v>37</v>
      </c>
      <c r="K12" s="67"/>
      <c r="L12" s="72"/>
      <c r="M12" s="67"/>
      <c r="N12" s="67"/>
      <c r="O12" s="71"/>
      <c r="P12" s="67"/>
      <c r="Q12" s="67"/>
      <c r="R12" s="67"/>
      <c r="S12" s="72"/>
      <c r="T12" s="72">
        <v>52.4</v>
      </c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95.6</v>
      </c>
      <c r="AG12" s="72">
        <f>B12+C12-AF12</f>
        <v>280.15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>B10-B11-B12-B13</f>
        <v>1321.2720000000002</v>
      </c>
      <c r="C14" s="72">
        <v>1190.7799999999997</v>
      </c>
      <c r="D14" s="67">
        <f aca="true" t="shared" si="2" ref="D14:Y14">D10-D11-D12-D13</f>
        <v>0</v>
      </c>
      <c r="E14" s="67">
        <f t="shared" si="2"/>
        <v>4.6000000000000005</v>
      </c>
      <c r="F14" s="67">
        <f t="shared" si="2"/>
        <v>96.8</v>
      </c>
      <c r="G14" s="67">
        <f t="shared" si="2"/>
        <v>2.0999999999999996</v>
      </c>
      <c r="H14" s="67">
        <f t="shared" si="2"/>
        <v>241</v>
      </c>
      <c r="I14" s="67">
        <f t="shared" si="2"/>
        <v>37.3</v>
      </c>
      <c r="J14" s="72">
        <f t="shared" si="2"/>
        <v>45.10000000000002</v>
      </c>
      <c r="K14" s="67">
        <f t="shared" si="2"/>
        <v>7.5</v>
      </c>
      <c r="L14" s="72">
        <f t="shared" si="2"/>
        <v>34.20000000000027</v>
      </c>
      <c r="M14" s="67">
        <f t="shared" si="2"/>
        <v>30.1</v>
      </c>
      <c r="N14" s="67">
        <f t="shared" si="2"/>
        <v>3.8</v>
      </c>
      <c r="O14" s="67">
        <f t="shared" si="2"/>
        <v>1.6000000000000014</v>
      </c>
      <c r="P14" s="67">
        <f t="shared" si="2"/>
        <v>1.2000000000000002</v>
      </c>
      <c r="Q14" s="67">
        <f t="shared" si="2"/>
        <v>18</v>
      </c>
      <c r="R14" s="67">
        <f t="shared" si="2"/>
        <v>25.7</v>
      </c>
      <c r="S14" s="67">
        <f t="shared" si="2"/>
        <v>13.2</v>
      </c>
      <c r="T14" s="67">
        <f t="shared" si="2"/>
        <v>147.1</v>
      </c>
      <c r="U14" s="67">
        <f t="shared" si="2"/>
        <v>0</v>
      </c>
      <c r="V14" s="67">
        <f t="shared" si="2"/>
        <v>24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733.3000000000005</v>
      </c>
      <c r="AG14" s="72">
        <f>AG10-AG11-AG12-AG13</f>
        <v>1778.7519999999945</v>
      </c>
      <c r="AH14" s="18"/>
    </row>
    <row r="15" spans="1:35" ht="15" customHeight="1">
      <c r="A15" s="4" t="s">
        <v>6</v>
      </c>
      <c r="B15" s="72">
        <f>60436.77978+70</f>
        <v>60506.77978</v>
      </c>
      <c r="C15" s="72">
        <v>32370.059999999998</v>
      </c>
      <c r="D15" s="73"/>
      <c r="E15" s="73">
        <v>1</v>
      </c>
      <c r="F15" s="67"/>
      <c r="G15" s="67"/>
      <c r="H15" s="67">
        <v>294.9</v>
      </c>
      <c r="I15" s="67"/>
      <c r="J15" s="72">
        <v>385.1</v>
      </c>
      <c r="K15" s="67">
        <f>11878.7+9355.5</f>
        <v>21234.2</v>
      </c>
      <c r="L15" s="72">
        <v>280.9</v>
      </c>
      <c r="M15" s="67">
        <v>82.5</v>
      </c>
      <c r="N15" s="67">
        <v>606.6</v>
      </c>
      <c r="O15" s="71">
        <v>43.5</v>
      </c>
      <c r="P15" s="67">
        <v>958.6</v>
      </c>
      <c r="Q15" s="71">
        <v>873.8</v>
      </c>
      <c r="R15" s="67">
        <v>516.6</v>
      </c>
      <c r="S15" s="72">
        <v>886.6</v>
      </c>
      <c r="T15" s="72">
        <v>333.9</v>
      </c>
      <c r="U15" s="72"/>
      <c r="V15" s="72">
        <f>18847.4+12599.9</f>
        <v>31447.300000000003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57945.5</v>
      </c>
      <c r="AG15" s="72">
        <f aca="true" t="shared" si="3" ref="AG15:AG31">B15+C15-AF15</f>
        <v>34931.339779999995</v>
      </c>
      <c r="AH15" s="112"/>
      <c r="AI15" s="86"/>
    </row>
    <row r="16" spans="1:34" s="53" customFormat="1" ht="15" customHeight="1">
      <c r="A16" s="51" t="s">
        <v>38</v>
      </c>
      <c r="B16" s="76">
        <v>19179.6</v>
      </c>
      <c r="C16" s="76">
        <v>7229.1</v>
      </c>
      <c r="D16" s="74"/>
      <c r="E16" s="74">
        <v>0.5</v>
      </c>
      <c r="F16" s="75"/>
      <c r="G16" s="75"/>
      <c r="H16" s="75"/>
      <c r="I16" s="75"/>
      <c r="J16" s="76"/>
      <c r="K16" s="75">
        <v>9355.5</v>
      </c>
      <c r="L16" s="76"/>
      <c r="M16" s="75"/>
      <c r="N16" s="75"/>
      <c r="O16" s="77"/>
      <c r="P16" s="75"/>
      <c r="Q16" s="77"/>
      <c r="R16" s="75"/>
      <c r="S16" s="76"/>
      <c r="T16" s="76"/>
      <c r="U16" s="76"/>
      <c r="V16" s="76">
        <v>12599.9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21955.9</v>
      </c>
      <c r="AG16" s="115">
        <f t="shared" si="3"/>
        <v>4452.799999999996</v>
      </c>
      <c r="AH16" s="116"/>
    </row>
    <row r="17" spans="1:34" ht="15.75">
      <c r="A17" s="3" t="s">
        <v>5</v>
      </c>
      <c r="B17" s="72">
        <f>50645.2+295.3</f>
        <v>50940.5</v>
      </c>
      <c r="C17" s="72">
        <v>17006.219999999994</v>
      </c>
      <c r="D17" s="67"/>
      <c r="E17" s="67">
        <v>1</v>
      </c>
      <c r="F17" s="67"/>
      <c r="G17" s="67"/>
      <c r="H17" s="67"/>
      <c r="I17" s="67"/>
      <c r="J17" s="72"/>
      <c r="K17" s="67">
        <f>11639.1+9355.5</f>
        <v>20994.6</v>
      </c>
      <c r="L17" s="72"/>
      <c r="M17" s="67"/>
      <c r="N17" s="67"/>
      <c r="O17" s="71"/>
      <c r="P17" s="67"/>
      <c r="Q17" s="71"/>
      <c r="R17" s="67"/>
      <c r="S17" s="72"/>
      <c r="T17" s="72"/>
      <c r="U17" s="72"/>
      <c r="V17" s="72">
        <f>17852.2+12599.9</f>
        <v>30452.1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51447.7</v>
      </c>
      <c r="AG17" s="72">
        <f t="shared" si="3"/>
        <v>16499.020000000004</v>
      </c>
      <c r="AH17" s="21"/>
    </row>
    <row r="18" spans="1:34" ht="15.75">
      <c r="A18" s="3" t="s">
        <v>3</v>
      </c>
      <c r="B18" s="72">
        <v>20.8</v>
      </c>
      <c r="C18" s="72">
        <v>9.499999999999998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>
        <v>3.4</v>
      </c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3.4</v>
      </c>
      <c r="AG18" s="72">
        <f t="shared" si="3"/>
        <v>26.9</v>
      </c>
      <c r="AH18" s="18"/>
    </row>
    <row r="19" spans="1:34" ht="15.75">
      <c r="A19" s="3" t="s">
        <v>1</v>
      </c>
      <c r="B19" s="72">
        <f>4088.5-3003.1</f>
        <v>1085.4</v>
      </c>
      <c r="C19" s="72">
        <v>6789.1</v>
      </c>
      <c r="D19" s="67"/>
      <c r="E19" s="67"/>
      <c r="F19" s="67"/>
      <c r="G19" s="67"/>
      <c r="H19" s="67">
        <v>256.2</v>
      </c>
      <c r="I19" s="67"/>
      <c r="J19" s="72">
        <v>51.1</v>
      </c>
      <c r="K19" s="67"/>
      <c r="L19" s="72">
        <v>280.9</v>
      </c>
      <c r="M19" s="67">
        <v>48.1</v>
      </c>
      <c r="N19" s="67">
        <v>157.6</v>
      </c>
      <c r="O19" s="71"/>
      <c r="P19" s="67">
        <v>521.2</v>
      </c>
      <c r="Q19" s="71">
        <v>247.7</v>
      </c>
      <c r="R19" s="67">
        <v>188.5</v>
      </c>
      <c r="S19" s="72">
        <v>416.8</v>
      </c>
      <c r="T19" s="72">
        <v>97</v>
      </c>
      <c r="U19" s="72"/>
      <c r="V19" s="72">
        <v>484.1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2749.2000000000003</v>
      </c>
      <c r="AG19" s="72">
        <f t="shared" si="3"/>
        <v>5125.299999999999</v>
      </c>
      <c r="AH19" s="18"/>
    </row>
    <row r="20" spans="1:34" ht="15.75">
      <c r="A20" s="3" t="s">
        <v>2</v>
      </c>
      <c r="B20" s="72">
        <v>1428.3</v>
      </c>
      <c r="C20" s="72">
        <v>1248.5500000000002</v>
      </c>
      <c r="D20" s="67"/>
      <c r="E20" s="67"/>
      <c r="F20" s="67"/>
      <c r="G20" s="67"/>
      <c r="H20" s="67">
        <v>2.6</v>
      </c>
      <c r="I20" s="67"/>
      <c r="J20" s="72">
        <v>41.7</v>
      </c>
      <c r="K20" s="67">
        <v>145.2</v>
      </c>
      <c r="L20" s="72"/>
      <c r="M20" s="67"/>
      <c r="N20" s="67">
        <v>8.8</v>
      </c>
      <c r="O20" s="71">
        <v>32.7</v>
      </c>
      <c r="P20" s="67">
        <v>407.8</v>
      </c>
      <c r="Q20" s="71">
        <v>125.7</v>
      </c>
      <c r="R20" s="67">
        <v>72.9</v>
      </c>
      <c r="S20" s="72">
        <v>14.4</v>
      </c>
      <c r="T20" s="72">
        <v>10.6</v>
      </c>
      <c r="U20" s="72"/>
      <c r="V20" s="72">
        <v>12.8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875.1999999999999</v>
      </c>
      <c r="AG20" s="72">
        <f t="shared" si="3"/>
        <v>1801.6500000000005</v>
      </c>
      <c r="AH20" s="18"/>
    </row>
    <row r="21" spans="1:34" ht="15.75">
      <c r="A21" s="3" t="s">
        <v>16</v>
      </c>
      <c r="B21" s="72">
        <v>1279.5</v>
      </c>
      <c r="C21" s="72">
        <v>213.5999999999999</v>
      </c>
      <c r="D21" s="67"/>
      <c r="E21" s="67"/>
      <c r="F21" s="67"/>
      <c r="G21" s="67"/>
      <c r="H21" s="67"/>
      <c r="I21" s="67"/>
      <c r="J21" s="72"/>
      <c r="K21" s="67"/>
      <c r="L21" s="72"/>
      <c r="M21" s="67"/>
      <c r="N21" s="67">
        <f>86.9+44.2</f>
        <v>131.10000000000002</v>
      </c>
      <c r="O21" s="71"/>
      <c r="P21" s="67"/>
      <c r="Q21" s="71">
        <v>257.2</v>
      </c>
      <c r="R21" s="67">
        <f>154.8+13.2</f>
        <v>168</v>
      </c>
      <c r="S21" s="72"/>
      <c r="T21" s="72">
        <f>155.1+5.9</f>
        <v>161</v>
      </c>
      <c r="U21" s="67"/>
      <c r="V21" s="67">
        <v>268</v>
      </c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985.3</v>
      </c>
      <c r="AG21" s="72">
        <f t="shared" si="3"/>
        <v>507.79999999999995</v>
      </c>
      <c r="AH21" s="18"/>
    </row>
    <row r="22" spans="1:34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5752.279779999998</v>
      </c>
      <c r="C23" s="72">
        <v>7011.181000000004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36.09999999999999</v>
      </c>
      <c r="I23" s="67">
        <f t="shared" si="4"/>
        <v>0</v>
      </c>
      <c r="J23" s="72">
        <f t="shared" si="4"/>
        <v>292.3</v>
      </c>
      <c r="K23" s="67">
        <f t="shared" si="4"/>
        <v>94.4000000000022</v>
      </c>
      <c r="L23" s="72">
        <f t="shared" si="4"/>
        <v>0</v>
      </c>
      <c r="M23" s="67">
        <f t="shared" si="4"/>
        <v>34.4</v>
      </c>
      <c r="N23" s="67">
        <f t="shared" si="4"/>
        <v>305.7</v>
      </c>
      <c r="O23" s="67">
        <f t="shared" si="4"/>
        <v>10.799999999999997</v>
      </c>
      <c r="P23" s="67">
        <f t="shared" si="4"/>
        <v>29.599999999999966</v>
      </c>
      <c r="Q23" s="67">
        <f t="shared" si="4"/>
        <v>243.19999999999993</v>
      </c>
      <c r="R23" s="67">
        <f t="shared" si="4"/>
        <v>87.20000000000002</v>
      </c>
      <c r="S23" s="67">
        <f t="shared" si="4"/>
        <v>455.40000000000003</v>
      </c>
      <c r="T23" s="67">
        <f t="shared" si="4"/>
        <v>65.29999999999998</v>
      </c>
      <c r="U23" s="67">
        <f t="shared" si="4"/>
        <v>0</v>
      </c>
      <c r="V23" s="67">
        <f t="shared" si="4"/>
        <v>230.30000000000433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1884.7000000000062</v>
      </c>
      <c r="AG23" s="72">
        <f>B23+C23-AF23</f>
        <v>10878.760779999995</v>
      </c>
      <c r="AH23" s="18"/>
    </row>
    <row r="24" spans="1:35" ht="15" customHeight="1">
      <c r="A24" s="4" t="s">
        <v>7</v>
      </c>
      <c r="B24" s="72">
        <f>28232.621+589.9</f>
        <v>28822.521</v>
      </c>
      <c r="C24" s="72">
        <v>12498.699999999986</v>
      </c>
      <c r="D24" s="67"/>
      <c r="E24" s="67"/>
      <c r="F24" s="67"/>
      <c r="G24" s="67">
        <v>1.5</v>
      </c>
      <c r="H24" s="67">
        <f>405+813.9</f>
        <v>1218.9</v>
      </c>
      <c r="I24" s="67">
        <f>84.2+5.4</f>
        <v>89.60000000000001</v>
      </c>
      <c r="J24" s="72"/>
      <c r="K24" s="67">
        <f>556.4+8696.9</f>
        <v>9253.3</v>
      </c>
      <c r="L24" s="72"/>
      <c r="M24" s="67">
        <f>931.9+690.3</f>
        <v>1622.1999999999998</v>
      </c>
      <c r="N24" s="67">
        <f>3.9+267.3</f>
        <v>271.2</v>
      </c>
      <c r="O24" s="71"/>
      <c r="P24" s="67"/>
      <c r="Q24" s="71"/>
      <c r="R24" s="71"/>
      <c r="S24" s="72">
        <f>1684.3+3591.2</f>
        <v>5275.5</v>
      </c>
      <c r="T24" s="72">
        <f>7.7+1628.8</f>
        <v>1636.5</v>
      </c>
      <c r="U24" s="72"/>
      <c r="V24" s="72">
        <f>8145.7</f>
        <v>8145.7</v>
      </c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27514.4</v>
      </c>
      <c r="AG24" s="72">
        <f t="shared" si="3"/>
        <v>13806.820999999989</v>
      </c>
      <c r="AH24" s="86"/>
      <c r="AI24" s="86"/>
    </row>
    <row r="25" spans="1:35" s="117" customFormat="1" ht="15" customHeight="1">
      <c r="A25" s="113" t="s">
        <v>39</v>
      </c>
      <c r="B25" s="76">
        <f>15694.8+589.9</f>
        <v>16284.699999999999</v>
      </c>
      <c r="C25" s="76">
        <v>267.8999999999978</v>
      </c>
      <c r="D25" s="76"/>
      <c r="E25" s="76"/>
      <c r="F25" s="76"/>
      <c r="G25" s="76">
        <v>1.5</v>
      </c>
      <c r="H25" s="76">
        <v>813.9</v>
      </c>
      <c r="I25" s="76">
        <v>5.4</v>
      </c>
      <c r="J25" s="76"/>
      <c r="K25" s="76">
        <v>8696.9</v>
      </c>
      <c r="L25" s="76"/>
      <c r="M25" s="76">
        <v>690.3</v>
      </c>
      <c r="N25" s="76">
        <v>267.3</v>
      </c>
      <c r="O25" s="76"/>
      <c r="P25" s="76"/>
      <c r="Q25" s="76"/>
      <c r="R25" s="76"/>
      <c r="S25" s="76">
        <v>3591.2</v>
      </c>
      <c r="T25" s="76">
        <v>1628.8</v>
      </c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15695.299999999996</v>
      </c>
      <c r="AG25" s="115">
        <f t="shared" si="3"/>
        <v>857.3000000000029</v>
      </c>
      <c r="AH25" s="116"/>
      <c r="AI25" s="142"/>
    </row>
    <row r="26" spans="1:34" ht="15.75" hidden="1">
      <c r="A26" s="3" t="s">
        <v>5</v>
      </c>
      <c r="B26" s="72"/>
      <c r="C26" s="72">
        <v>0</v>
      </c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>
        <v>0</v>
      </c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>
        <v>0</v>
      </c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>
        <v>0</v>
      </c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>
        <v>0</v>
      </c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28822.521</v>
      </c>
      <c r="C32" s="72">
        <v>12498.699999999986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0</v>
      </c>
      <c r="G32" s="67">
        <f t="shared" si="5"/>
        <v>1.5</v>
      </c>
      <c r="H32" s="67">
        <f t="shared" si="5"/>
        <v>1218.9</v>
      </c>
      <c r="I32" s="67">
        <f t="shared" si="5"/>
        <v>89.60000000000001</v>
      </c>
      <c r="J32" s="72">
        <f t="shared" si="5"/>
        <v>0</v>
      </c>
      <c r="K32" s="67">
        <f t="shared" si="5"/>
        <v>9253.3</v>
      </c>
      <c r="L32" s="72">
        <f t="shared" si="5"/>
        <v>0</v>
      </c>
      <c r="M32" s="67">
        <f t="shared" si="5"/>
        <v>1622.1999999999998</v>
      </c>
      <c r="N32" s="67">
        <f t="shared" si="5"/>
        <v>271.2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5275.5</v>
      </c>
      <c r="T32" s="67">
        <f t="shared" si="5"/>
        <v>1636.5</v>
      </c>
      <c r="U32" s="67">
        <f t="shared" si="5"/>
        <v>0</v>
      </c>
      <c r="V32" s="67">
        <f t="shared" si="5"/>
        <v>8145.7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27514.4</v>
      </c>
      <c r="AG32" s="72">
        <f>AG24</f>
        <v>13806.820999999989</v>
      </c>
    </row>
    <row r="33" spans="1:33" ht="15" customHeight="1">
      <c r="A33" s="4" t="s">
        <v>8</v>
      </c>
      <c r="B33" s="72">
        <f>288.06+47.5-1.9</f>
        <v>333.66</v>
      </c>
      <c r="C33" s="72">
        <v>2614.49</v>
      </c>
      <c r="D33" s="67"/>
      <c r="E33" s="67"/>
      <c r="F33" s="67">
        <v>1.2</v>
      </c>
      <c r="G33" s="67">
        <v>1073.1</v>
      </c>
      <c r="H33" s="67"/>
      <c r="I33" s="67"/>
      <c r="J33" s="72">
        <v>35</v>
      </c>
      <c r="K33" s="67">
        <v>47.8</v>
      </c>
      <c r="L33" s="72"/>
      <c r="M33" s="67"/>
      <c r="N33" s="67"/>
      <c r="O33" s="71">
        <v>97</v>
      </c>
      <c r="P33" s="67"/>
      <c r="Q33" s="71"/>
      <c r="R33" s="67">
        <v>9.5</v>
      </c>
      <c r="S33" s="72"/>
      <c r="T33" s="72">
        <f>3.6-1.2</f>
        <v>2.4000000000000004</v>
      </c>
      <c r="U33" s="72"/>
      <c r="V33" s="72">
        <v>238.1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1504.1</v>
      </c>
      <c r="AG33" s="72">
        <f aca="true" t="shared" si="6" ref="AG33:AG38">B33+C33-AF33</f>
        <v>1444.0499999999997</v>
      </c>
    </row>
    <row r="34" spans="1:33" ht="15.75">
      <c r="A34" s="3" t="s">
        <v>5</v>
      </c>
      <c r="B34" s="72">
        <v>259.1</v>
      </c>
      <c r="C34" s="72">
        <v>115.11999999999995</v>
      </c>
      <c r="D34" s="67"/>
      <c r="E34" s="67"/>
      <c r="F34" s="67"/>
      <c r="G34" s="67"/>
      <c r="H34" s="67"/>
      <c r="I34" s="67"/>
      <c r="J34" s="72">
        <v>34.6</v>
      </c>
      <c r="K34" s="67">
        <v>47.8</v>
      </c>
      <c r="L34" s="72"/>
      <c r="M34" s="67"/>
      <c r="N34" s="67"/>
      <c r="O34" s="67"/>
      <c r="P34" s="67"/>
      <c r="Q34" s="71"/>
      <c r="R34" s="67"/>
      <c r="S34" s="72"/>
      <c r="T34" s="72"/>
      <c r="U34" s="72"/>
      <c r="V34" s="72">
        <v>164.9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247.3</v>
      </c>
      <c r="AG34" s="72">
        <f t="shared" si="6"/>
        <v>126.91999999999996</v>
      </c>
    </row>
    <row r="35" spans="1:33" ht="15.75">
      <c r="A35" s="3" t="s">
        <v>1</v>
      </c>
      <c r="B35" s="72">
        <v>0</v>
      </c>
      <c r="C35" s="72">
        <v>1.98599999999999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1.98599999999999</v>
      </c>
    </row>
    <row r="36" spans="1:33" ht="15.75">
      <c r="A36" s="3" t="s">
        <v>2</v>
      </c>
      <c r="B36" s="111">
        <v>3.2</v>
      </c>
      <c r="C36" s="72">
        <v>17.9</v>
      </c>
      <c r="D36" s="67"/>
      <c r="E36" s="67"/>
      <c r="F36" s="67">
        <v>0.5</v>
      </c>
      <c r="G36" s="67"/>
      <c r="H36" s="67"/>
      <c r="I36" s="67"/>
      <c r="J36" s="72"/>
      <c r="K36" s="67"/>
      <c r="L36" s="72"/>
      <c r="M36" s="67"/>
      <c r="N36" s="72"/>
      <c r="O36" s="71"/>
      <c r="P36" s="67"/>
      <c r="Q36" s="71"/>
      <c r="R36" s="67"/>
      <c r="S36" s="72"/>
      <c r="T36" s="72"/>
      <c r="U36" s="67"/>
      <c r="V36" s="67">
        <v>0.1</v>
      </c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0.6</v>
      </c>
      <c r="AG36" s="72">
        <f t="shared" si="6"/>
        <v>20.499999999999996</v>
      </c>
    </row>
    <row r="37" spans="1:33" ht="15.75">
      <c r="A37" s="3" t="s">
        <v>16</v>
      </c>
      <c r="B37" s="72">
        <v>0</v>
      </c>
      <c r="C37" s="72">
        <v>2133.664</v>
      </c>
      <c r="D37" s="67"/>
      <c r="E37" s="67"/>
      <c r="F37" s="67"/>
      <c r="G37" s="67">
        <v>850.5</v>
      </c>
      <c r="H37" s="67"/>
      <c r="I37" s="67"/>
      <c r="J37" s="72"/>
      <c r="K37" s="67"/>
      <c r="L37" s="72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850.5</v>
      </c>
      <c r="AG37" s="72">
        <f t="shared" si="6"/>
        <v>1283.1640000000002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71.36</v>
      </c>
      <c r="C39" s="72">
        <v>345.8199999999997</v>
      </c>
      <c r="D39" s="67">
        <f t="shared" si="7"/>
        <v>0</v>
      </c>
      <c r="E39" s="67">
        <f t="shared" si="7"/>
        <v>0</v>
      </c>
      <c r="F39" s="67">
        <f t="shared" si="7"/>
        <v>0.7</v>
      </c>
      <c r="G39" s="67">
        <f t="shared" si="7"/>
        <v>222.5999999999999</v>
      </c>
      <c r="H39" s="67">
        <f t="shared" si="7"/>
        <v>0</v>
      </c>
      <c r="I39" s="67">
        <f t="shared" si="7"/>
        <v>0</v>
      </c>
      <c r="J39" s="72">
        <f t="shared" si="7"/>
        <v>0.3999999999999986</v>
      </c>
      <c r="K39" s="67">
        <f t="shared" si="7"/>
        <v>0</v>
      </c>
      <c r="L39" s="72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97</v>
      </c>
      <c r="P39" s="67">
        <f t="shared" si="7"/>
        <v>0</v>
      </c>
      <c r="Q39" s="67">
        <f t="shared" si="7"/>
        <v>0</v>
      </c>
      <c r="R39" s="67">
        <f t="shared" si="7"/>
        <v>9.5</v>
      </c>
      <c r="S39" s="67">
        <f t="shared" si="7"/>
        <v>0</v>
      </c>
      <c r="T39" s="67">
        <f t="shared" si="7"/>
        <v>2.4000000000000004</v>
      </c>
      <c r="U39" s="67">
        <f t="shared" si="7"/>
        <v>0</v>
      </c>
      <c r="V39" s="67">
        <f t="shared" si="7"/>
        <v>73.1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405.69999999999993</v>
      </c>
      <c r="AG39" s="72">
        <f>AG33-AG34-AG36-AG38-AG35-AG37</f>
        <v>11.479999999999563</v>
      </c>
    </row>
    <row r="40" spans="1:33" ht="15" customHeight="1">
      <c r="A40" s="4" t="s">
        <v>29</v>
      </c>
      <c r="B40" s="72">
        <v>1078.062</v>
      </c>
      <c r="C40" s="72">
        <v>237.62999999999988</v>
      </c>
      <c r="D40" s="67"/>
      <c r="E40" s="67"/>
      <c r="F40" s="67"/>
      <c r="G40" s="67"/>
      <c r="H40" s="67"/>
      <c r="I40" s="67">
        <v>360.8</v>
      </c>
      <c r="J40" s="72"/>
      <c r="K40" s="67"/>
      <c r="L40" s="72"/>
      <c r="M40" s="67"/>
      <c r="N40" s="67"/>
      <c r="O40" s="71"/>
      <c r="P40" s="67"/>
      <c r="Q40" s="71"/>
      <c r="R40" s="71"/>
      <c r="S40" s="72"/>
      <c r="T40" s="72"/>
      <c r="U40" s="72"/>
      <c r="V40" s="72">
        <v>661.9</v>
      </c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1022.7</v>
      </c>
      <c r="AG40" s="72">
        <f aca="true" t="shared" si="8" ref="AG40:AG45">B40+C40-AF40</f>
        <v>292.99199999999973</v>
      </c>
    </row>
    <row r="41" spans="1:34" ht="15.75">
      <c r="A41" s="3" t="s">
        <v>5</v>
      </c>
      <c r="B41" s="72">
        <v>1039.498</v>
      </c>
      <c r="C41" s="72">
        <v>142.48599999999988</v>
      </c>
      <c r="D41" s="67"/>
      <c r="E41" s="67"/>
      <c r="F41" s="67"/>
      <c r="G41" s="67"/>
      <c r="H41" s="67"/>
      <c r="I41" s="67">
        <v>318.9</v>
      </c>
      <c r="J41" s="72"/>
      <c r="K41" s="67"/>
      <c r="L41" s="72"/>
      <c r="M41" s="67"/>
      <c r="N41" s="67"/>
      <c r="O41" s="71"/>
      <c r="P41" s="67"/>
      <c r="Q41" s="67"/>
      <c r="R41" s="67"/>
      <c r="S41" s="72"/>
      <c r="T41" s="72"/>
      <c r="U41" s="72"/>
      <c r="V41" s="72">
        <v>654.8</v>
      </c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973.6999999999999</v>
      </c>
      <c r="AG41" s="72">
        <f t="shared" si="8"/>
        <v>208.284</v>
      </c>
      <c r="AH41" s="6"/>
    </row>
    <row r="42" spans="1:33" ht="15.75">
      <c r="A42" s="3" t="s">
        <v>3</v>
      </c>
      <c r="B42" s="72">
        <v>0</v>
      </c>
      <c r="C42" s="72">
        <v>0.10000000000000009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0.10000000000000009</v>
      </c>
    </row>
    <row r="43" spans="1:33" ht="15.75">
      <c r="A43" s="3" t="s">
        <v>1</v>
      </c>
      <c r="B43" s="72">
        <v>0</v>
      </c>
      <c r="C43" s="72">
        <v>17.1</v>
      </c>
      <c r="D43" s="67"/>
      <c r="E43" s="67"/>
      <c r="F43" s="67"/>
      <c r="G43" s="67"/>
      <c r="H43" s="67"/>
      <c r="I43" s="67"/>
      <c r="J43" s="72"/>
      <c r="K43" s="67"/>
      <c r="L43" s="72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0</v>
      </c>
      <c r="AG43" s="72">
        <f t="shared" si="8"/>
        <v>17.1</v>
      </c>
    </row>
    <row r="44" spans="1:33" ht="15.75">
      <c r="A44" s="3" t="s">
        <v>2</v>
      </c>
      <c r="B44" s="72">
        <v>6.864</v>
      </c>
      <c r="C44" s="72">
        <v>51.629999999999995</v>
      </c>
      <c r="D44" s="67"/>
      <c r="E44" s="67"/>
      <c r="F44" s="67"/>
      <c r="G44" s="67"/>
      <c r="H44" s="67"/>
      <c r="I44" s="67">
        <v>1</v>
      </c>
      <c r="J44" s="72"/>
      <c r="K44" s="67"/>
      <c r="L44" s="72"/>
      <c r="M44" s="67"/>
      <c r="N44" s="67"/>
      <c r="O44" s="71"/>
      <c r="P44" s="67"/>
      <c r="Q44" s="67"/>
      <c r="R44" s="67"/>
      <c r="S44" s="72"/>
      <c r="T44" s="72"/>
      <c r="U44" s="72"/>
      <c r="V44" s="72">
        <v>5</v>
      </c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6</v>
      </c>
      <c r="AG44" s="72">
        <f t="shared" si="8"/>
        <v>52.49399999999999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31.69999999999985</v>
      </c>
      <c r="C46" s="72">
        <v>26.31400000000002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40.900000000000034</v>
      </c>
      <c r="J46" s="72">
        <f t="shared" si="9"/>
        <v>0</v>
      </c>
      <c r="K46" s="67">
        <f t="shared" si="9"/>
        <v>0</v>
      </c>
      <c r="L46" s="72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2.1000000000000227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43.00000000000006</v>
      </c>
      <c r="AG46" s="72">
        <f>AG40-AG41-AG42-AG43-AG44-AG45</f>
        <v>15.013999999999761</v>
      </c>
    </row>
    <row r="47" spans="1:33" ht="17.25" customHeight="1">
      <c r="A47" s="4" t="s">
        <v>43</v>
      </c>
      <c r="B47" s="70">
        <v>743</v>
      </c>
      <c r="C47" s="72">
        <v>1381.2942299999963</v>
      </c>
      <c r="D47" s="67"/>
      <c r="E47" s="79">
        <v>47.1</v>
      </c>
      <c r="F47" s="79">
        <v>155.3</v>
      </c>
      <c r="G47" s="79"/>
      <c r="H47" s="79">
        <v>34.5</v>
      </c>
      <c r="I47" s="79"/>
      <c r="J47" s="80">
        <v>57.7</v>
      </c>
      <c r="K47" s="79">
        <v>34.2</v>
      </c>
      <c r="L47" s="80">
        <v>61.3</v>
      </c>
      <c r="M47" s="79">
        <v>32.7</v>
      </c>
      <c r="N47" s="79"/>
      <c r="O47" s="81"/>
      <c r="P47" s="79">
        <v>18</v>
      </c>
      <c r="Q47" s="79">
        <v>77.1</v>
      </c>
      <c r="R47" s="79">
        <v>1.1</v>
      </c>
      <c r="S47" s="80">
        <v>85</v>
      </c>
      <c r="T47" s="80">
        <f>37.9+1.2</f>
        <v>39.1</v>
      </c>
      <c r="U47" s="79"/>
      <c r="V47" s="79">
        <v>54.7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697.8000000000001</v>
      </c>
      <c r="AG47" s="72">
        <f>B47+C47-AF47</f>
        <v>1426.4942299999962</v>
      </c>
    </row>
    <row r="48" spans="1:33" ht="15.75">
      <c r="A48" s="3" t="s">
        <v>5</v>
      </c>
      <c r="B48" s="72">
        <v>36.375</v>
      </c>
      <c r="C48" s="72">
        <v>62.574999999999996</v>
      </c>
      <c r="D48" s="67"/>
      <c r="E48" s="79"/>
      <c r="F48" s="79"/>
      <c r="G48" s="79"/>
      <c r="H48" s="79"/>
      <c r="I48" s="79"/>
      <c r="J48" s="80"/>
      <c r="K48" s="79"/>
      <c r="L48" s="80">
        <v>19.7</v>
      </c>
      <c r="M48" s="79"/>
      <c r="N48" s="79"/>
      <c r="O48" s="81"/>
      <c r="P48" s="79"/>
      <c r="Q48" s="79"/>
      <c r="R48" s="79"/>
      <c r="S48" s="80"/>
      <c r="T48" s="80"/>
      <c r="U48" s="79"/>
      <c r="V48" s="79">
        <v>20.2</v>
      </c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39.9</v>
      </c>
      <c r="AG48" s="72">
        <f>B48+C48-AF48</f>
        <v>59.04999999999999</v>
      </c>
    </row>
    <row r="49" spans="1:33" ht="15.75">
      <c r="A49" s="3" t="s">
        <v>16</v>
      </c>
      <c r="B49" s="72">
        <f>511.7019+50.6</f>
        <v>562.3019</v>
      </c>
      <c r="C49" s="72">
        <v>808.6720000000001</v>
      </c>
      <c r="D49" s="67"/>
      <c r="E49" s="67"/>
      <c r="F49" s="67">
        <v>146.5</v>
      </c>
      <c r="G49" s="67"/>
      <c r="H49" s="67">
        <v>34.5</v>
      </c>
      <c r="I49" s="67"/>
      <c r="J49" s="72">
        <v>57.7</v>
      </c>
      <c r="K49" s="67">
        <v>34.2</v>
      </c>
      <c r="L49" s="72">
        <v>41.6</v>
      </c>
      <c r="M49" s="67">
        <v>16.3</v>
      </c>
      <c r="N49" s="67"/>
      <c r="O49" s="71"/>
      <c r="P49" s="67"/>
      <c r="Q49" s="67">
        <v>77.1</v>
      </c>
      <c r="R49" s="67"/>
      <c r="S49" s="72">
        <v>85</v>
      </c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492.9</v>
      </c>
      <c r="AG49" s="72">
        <f>B49+C49-AF49</f>
        <v>878.0739000000002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144.32309999999995</v>
      </c>
      <c r="C51" s="72">
        <v>510.0472299999962</v>
      </c>
      <c r="D51" s="67">
        <f aca="true" t="shared" si="10" ref="D51:AD51">D47-D48-D49</f>
        <v>0</v>
      </c>
      <c r="E51" s="67">
        <f t="shared" si="10"/>
        <v>47.1</v>
      </c>
      <c r="F51" s="67">
        <f t="shared" si="10"/>
        <v>8.800000000000011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72">
        <f t="shared" si="10"/>
        <v>0</v>
      </c>
      <c r="K51" s="67">
        <f t="shared" si="10"/>
        <v>0</v>
      </c>
      <c r="L51" s="72">
        <f t="shared" si="10"/>
        <v>0</v>
      </c>
      <c r="M51" s="67">
        <f t="shared" si="10"/>
        <v>16.400000000000002</v>
      </c>
      <c r="N51" s="67">
        <f t="shared" si="10"/>
        <v>0</v>
      </c>
      <c r="O51" s="67">
        <f t="shared" si="10"/>
        <v>0</v>
      </c>
      <c r="P51" s="67">
        <f t="shared" si="10"/>
        <v>18</v>
      </c>
      <c r="Q51" s="67">
        <f t="shared" si="10"/>
        <v>0</v>
      </c>
      <c r="R51" s="67">
        <f t="shared" si="10"/>
        <v>1.1</v>
      </c>
      <c r="S51" s="67">
        <f t="shared" si="10"/>
        <v>0</v>
      </c>
      <c r="T51" s="67">
        <f t="shared" si="10"/>
        <v>39.1</v>
      </c>
      <c r="U51" s="67">
        <f t="shared" si="10"/>
        <v>0</v>
      </c>
      <c r="V51" s="67">
        <f t="shared" si="10"/>
        <v>34.5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165</v>
      </c>
      <c r="AG51" s="72">
        <f>AG47-AG49-AG48</f>
        <v>489.37032999999593</v>
      </c>
    </row>
    <row r="52" spans="1:33" ht="15" customHeight="1">
      <c r="A52" s="4" t="s">
        <v>0</v>
      </c>
      <c r="B52" s="72">
        <f>4439.2-1414.2-2161-41.4</f>
        <v>822.6</v>
      </c>
      <c r="C52" s="72">
        <v>5227.362260000002</v>
      </c>
      <c r="D52" s="67"/>
      <c r="E52" s="67"/>
      <c r="F52" s="67">
        <v>38.7</v>
      </c>
      <c r="G52" s="67">
        <v>98.7</v>
      </c>
      <c r="H52" s="67">
        <v>284.7</v>
      </c>
      <c r="I52" s="67"/>
      <c r="J52" s="72">
        <v>242.7</v>
      </c>
      <c r="K52" s="67">
        <v>541.8</v>
      </c>
      <c r="L52" s="72">
        <v>85.7</v>
      </c>
      <c r="M52" s="67"/>
      <c r="N52" s="67">
        <v>94.9</v>
      </c>
      <c r="O52" s="71"/>
      <c r="P52" s="67">
        <v>1.8</v>
      </c>
      <c r="Q52" s="67">
        <v>448.7</v>
      </c>
      <c r="R52" s="67"/>
      <c r="S52" s="72">
        <v>305.1</v>
      </c>
      <c r="T52" s="72">
        <v>649.5</v>
      </c>
      <c r="U52" s="72"/>
      <c r="V52" s="72">
        <v>274.8</v>
      </c>
      <c r="W52" s="72">
        <v>-124.1</v>
      </c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2943.0000000000005</v>
      </c>
      <c r="AG52" s="72">
        <f aca="true" t="shared" si="11" ref="AG52:AG59">B52+C52-AF52</f>
        <v>3106.9622600000016</v>
      </c>
    </row>
    <row r="53" spans="1:33" ht="15" customHeight="1">
      <c r="A53" s="3" t="s">
        <v>2</v>
      </c>
      <c r="B53" s="72">
        <v>953.173</v>
      </c>
      <c r="C53" s="72">
        <v>239.30100000000004</v>
      </c>
      <c r="D53" s="67"/>
      <c r="E53" s="67"/>
      <c r="F53" s="67">
        <v>32.4</v>
      </c>
      <c r="G53" s="67"/>
      <c r="H53" s="67"/>
      <c r="I53" s="67"/>
      <c r="J53" s="72">
        <v>38.7</v>
      </c>
      <c r="K53" s="67"/>
      <c r="L53" s="72">
        <v>3.5</v>
      </c>
      <c r="M53" s="67"/>
      <c r="N53" s="67">
        <v>1</v>
      </c>
      <c r="O53" s="71"/>
      <c r="P53" s="67">
        <v>0.1</v>
      </c>
      <c r="Q53" s="67"/>
      <c r="R53" s="67"/>
      <c r="S53" s="72"/>
      <c r="T53" s="72"/>
      <c r="U53" s="72"/>
      <c r="V53" s="72">
        <v>88.2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163.89999999999998</v>
      </c>
      <c r="AG53" s="72">
        <f t="shared" si="11"/>
        <v>1028.574</v>
      </c>
    </row>
    <row r="54" spans="1:34" ht="15" customHeight="1">
      <c r="A54" s="4" t="s">
        <v>9</v>
      </c>
      <c r="B54" s="111">
        <f>1995.594+81.6</f>
        <v>2077.194</v>
      </c>
      <c r="C54" s="72">
        <v>1502.44</v>
      </c>
      <c r="D54" s="67"/>
      <c r="E54" s="67">
        <v>30</v>
      </c>
      <c r="F54" s="67">
        <v>317.5</v>
      </c>
      <c r="G54" s="67">
        <v>203</v>
      </c>
      <c r="H54" s="67">
        <v>26.4</v>
      </c>
      <c r="I54" s="67"/>
      <c r="J54" s="72"/>
      <c r="K54" s="67">
        <v>336.5</v>
      </c>
      <c r="L54" s="72">
        <v>22.9</v>
      </c>
      <c r="M54" s="67"/>
      <c r="N54" s="67">
        <v>137.2</v>
      </c>
      <c r="O54" s="71">
        <v>211.7</v>
      </c>
      <c r="P54" s="67">
        <v>90.6</v>
      </c>
      <c r="Q54" s="71">
        <v>2.4</v>
      </c>
      <c r="R54" s="67"/>
      <c r="S54" s="72">
        <v>18.1</v>
      </c>
      <c r="T54" s="72"/>
      <c r="U54" s="72"/>
      <c r="V54" s="72">
        <v>542.3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1938.6</v>
      </c>
      <c r="AG54" s="72">
        <f t="shared" si="11"/>
        <v>1641.034</v>
      </c>
      <c r="AH54" s="6"/>
    </row>
    <row r="55" spans="1:34" ht="15.75">
      <c r="A55" s="3" t="s">
        <v>5</v>
      </c>
      <c r="B55" s="72">
        <f>1084.067+40</f>
        <v>1124.067</v>
      </c>
      <c r="C55" s="72">
        <v>368.2069999999999</v>
      </c>
      <c r="D55" s="67"/>
      <c r="E55" s="67"/>
      <c r="F55" s="67">
        <v>71.8</v>
      </c>
      <c r="G55" s="67"/>
      <c r="H55" s="67"/>
      <c r="I55" s="67"/>
      <c r="J55" s="72"/>
      <c r="K55" s="67">
        <v>336.5</v>
      </c>
      <c r="L55" s="72">
        <v>18.5</v>
      </c>
      <c r="M55" s="67"/>
      <c r="N55" s="67"/>
      <c r="O55" s="71">
        <v>2.5</v>
      </c>
      <c r="P55" s="67"/>
      <c r="Q55" s="71"/>
      <c r="R55" s="67"/>
      <c r="S55" s="72"/>
      <c r="T55" s="72"/>
      <c r="U55" s="72"/>
      <c r="V55" s="72">
        <v>155.1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584.4</v>
      </c>
      <c r="AG55" s="72">
        <f t="shared" si="11"/>
        <v>907.8739999999999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70">
        <v>17.537</v>
      </c>
      <c r="C57" s="72">
        <v>46.536000000000115</v>
      </c>
      <c r="D57" s="72"/>
      <c r="E57" s="72"/>
      <c r="F57" s="72"/>
      <c r="G57" s="72"/>
      <c r="H57" s="72"/>
      <c r="I57" s="72"/>
      <c r="J57" s="72"/>
      <c r="K57" s="72"/>
      <c r="L57" s="72">
        <v>2.5</v>
      </c>
      <c r="M57" s="72"/>
      <c r="N57" s="72"/>
      <c r="O57" s="72"/>
      <c r="P57" s="72">
        <v>0.2</v>
      </c>
      <c r="Q57" s="72"/>
      <c r="R57" s="72"/>
      <c r="S57" s="72">
        <v>2.6</v>
      </c>
      <c r="T57" s="72"/>
      <c r="U57" s="72"/>
      <c r="V57" s="72">
        <v>6.1</v>
      </c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11.4</v>
      </c>
      <c r="AG57" s="72">
        <f t="shared" si="11"/>
        <v>52.67300000000012</v>
      </c>
    </row>
    <row r="58" spans="1:33" ht="15.7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935.5899999999999</v>
      </c>
      <c r="C60" s="72">
        <v>1087.6970000000001</v>
      </c>
      <c r="D60" s="67">
        <f t="shared" si="12"/>
        <v>0</v>
      </c>
      <c r="E60" s="67">
        <f>E54-E55-E57-E59-E56-E58</f>
        <v>30</v>
      </c>
      <c r="F60" s="67">
        <f t="shared" si="12"/>
        <v>245.7</v>
      </c>
      <c r="G60" s="67">
        <f t="shared" si="12"/>
        <v>203</v>
      </c>
      <c r="H60" s="67">
        <f t="shared" si="12"/>
        <v>26.4</v>
      </c>
      <c r="I60" s="67">
        <f t="shared" si="12"/>
        <v>0</v>
      </c>
      <c r="J60" s="72">
        <f t="shared" si="12"/>
        <v>0</v>
      </c>
      <c r="K60" s="67">
        <f t="shared" si="12"/>
        <v>0</v>
      </c>
      <c r="L60" s="72">
        <f t="shared" si="12"/>
        <v>1.8999999999999986</v>
      </c>
      <c r="M60" s="67">
        <f t="shared" si="12"/>
        <v>0</v>
      </c>
      <c r="N60" s="67">
        <f t="shared" si="12"/>
        <v>137.2</v>
      </c>
      <c r="O60" s="67">
        <f t="shared" si="12"/>
        <v>209.2</v>
      </c>
      <c r="P60" s="67">
        <f t="shared" si="12"/>
        <v>90.39999999999999</v>
      </c>
      <c r="Q60" s="67">
        <f t="shared" si="12"/>
        <v>2.4</v>
      </c>
      <c r="R60" s="67">
        <f t="shared" si="12"/>
        <v>0</v>
      </c>
      <c r="S60" s="67">
        <f t="shared" si="12"/>
        <v>15.500000000000002</v>
      </c>
      <c r="T60" s="67">
        <f t="shared" si="12"/>
        <v>0</v>
      </c>
      <c r="U60" s="67">
        <f t="shared" si="12"/>
        <v>0</v>
      </c>
      <c r="V60" s="67">
        <f t="shared" si="12"/>
        <v>381.0999999999999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1342.7999999999997</v>
      </c>
      <c r="AG60" s="72">
        <f>AG54-AG55-AG57-AG59-AG56-AG58</f>
        <v>680.4870000000001</v>
      </c>
    </row>
    <row r="61" spans="1:33" ht="15" customHeight="1">
      <c r="A61" s="4" t="s">
        <v>10</v>
      </c>
      <c r="B61" s="72">
        <f>87.5-191</f>
        <v>-103.5</v>
      </c>
      <c r="C61" s="72">
        <v>796.4</v>
      </c>
      <c r="D61" s="67"/>
      <c r="E61" s="67"/>
      <c r="F61" s="67"/>
      <c r="G61" s="67"/>
      <c r="H61" s="67">
        <v>22</v>
      </c>
      <c r="I61" s="67"/>
      <c r="J61" s="72"/>
      <c r="K61" s="67"/>
      <c r="L61" s="72"/>
      <c r="M61" s="67"/>
      <c r="N61" s="67"/>
      <c r="O61" s="71"/>
      <c r="P61" s="67"/>
      <c r="Q61" s="71">
        <v>2.4</v>
      </c>
      <c r="R61" s="67">
        <v>8</v>
      </c>
      <c r="S61" s="72"/>
      <c r="T61" s="72">
        <v>14.4</v>
      </c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46.8</v>
      </c>
      <c r="AG61" s="72">
        <f aca="true" t="shared" si="14" ref="AG61:AG67">B61+C61-AF61</f>
        <v>646.1</v>
      </c>
    </row>
    <row r="62" spans="1:33" s="18" customFormat="1" ht="15" customHeight="1">
      <c r="A62" s="108" t="s">
        <v>11</v>
      </c>
      <c r="B62" s="72">
        <f>2976+7.1-47.5+1.8</f>
        <v>2937.4</v>
      </c>
      <c r="C62" s="72">
        <v>4542</v>
      </c>
      <c r="D62" s="72"/>
      <c r="E62" s="72"/>
      <c r="F62" s="72">
        <v>7.7</v>
      </c>
      <c r="G62" s="72"/>
      <c r="H62" s="72">
        <v>244.3</v>
      </c>
      <c r="I62" s="72"/>
      <c r="J62" s="72"/>
      <c r="K62" s="72">
        <v>848.4</v>
      </c>
      <c r="L62" s="72">
        <v>2</v>
      </c>
      <c r="M62" s="72"/>
      <c r="N62" s="72"/>
      <c r="O62" s="72">
        <v>140.3</v>
      </c>
      <c r="P62" s="72"/>
      <c r="Q62" s="72"/>
      <c r="R62" s="72">
        <v>10.4</v>
      </c>
      <c r="S62" s="72"/>
      <c r="T62" s="72"/>
      <c r="U62" s="72"/>
      <c r="V62" s="72">
        <v>1785.5</v>
      </c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3038.6000000000004</v>
      </c>
      <c r="AG62" s="72">
        <f t="shared" si="14"/>
        <v>4440.799999999999</v>
      </c>
    </row>
    <row r="63" spans="1:34" ht="15.75">
      <c r="A63" s="3" t="s">
        <v>5</v>
      </c>
      <c r="B63" s="72">
        <f>1591.245+23.1</f>
        <v>1614.3449999999998</v>
      </c>
      <c r="C63" s="72">
        <v>1341.4040000000007</v>
      </c>
      <c r="D63" s="67"/>
      <c r="E63" s="67"/>
      <c r="F63" s="67"/>
      <c r="G63" s="67"/>
      <c r="H63" s="67"/>
      <c r="I63" s="67"/>
      <c r="J63" s="72"/>
      <c r="K63" s="67">
        <v>716.3</v>
      </c>
      <c r="L63" s="72"/>
      <c r="M63" s="67"/>
      <c r="N63" s="67"/>
      <c r="O63" s="71"/>
      <c r="P63" s="67"/>
      <c r="Q63" s="71"/>
      <c r="R63" s="67"/>
      <c r="S63" s="72"/>
      <c r="T63" s="72"/>
      <c r="U63" s="72"/>
      <c r="V63" s="72">
        <v>1140.3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1856.6</v>
      </c>
      <c r="AG63" s="72">
        <f t="shared" si="14"/>
        <v>1099.1490000000008</v>
      </c>
      <c r="AH63" s="121"/>
    </row>
    <row r="64" spans="1:34" ht="15.75">
      <c r="A64" s="3" t="s">
        <v>3</v>
      </c>
      <c r="B64" s="72">
        <v>4.1</v>
      </c>
      <c r="C64" s="72">
        <v>1.4</v>
      </c>
      <c r="D64" s="67"/>
      <c r="E64" s="67"/>
      <c r="F64" s="67"/>
      <c r="G64" s="67"/>
      <c r="H64" s="67">
        <v>1</v>
      </c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1</v>
      </c>
      <c r="AG64" s="72">
        <f t="shared" si="14"/>
        <v>4.5</v>
      </c>
      <c r="AH64" s="6"/>
    </row>
    <row r="65" spans="1:34" ht="15.75">
      <c r="A65" s="3" t="s">
        <v>1</v>
      </c>
      <c r="B65" s="72">
        <f>99.15+28.8</f>
        <v>127.95</v>
      </c>
      <c r="C65" s="72">
        <v>107.4</v>
      </c>
      <c r="D65" s="67"/>
      <c r="E65" s="67"/>
      <c r="F65" s="67"/>
      <c r="G65" s="67"/>
      <c r="H65" s="67">
        <v>16.2</v>
      </c>
      <c r="I65" s="67"/>
      <c r="J65" s="72"/>
      <c r="K65" s="67"/>
      <c r="L65" s="72"/>
      <c r="M65" s="67"/>
      <c r="N65" s="67"/>
      <c r="O65" s="71"/>
      <c r="P65" s="67"/>
      <c r="Q65" s="71"/>
      <c r="R65" s="67"/>
      <c r="S65" s="72"/>
      <c r="T65" s="72"/>
      <c r="U65" s="72"/>
      <c r="V65" s="72">
        <v>64.8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81</v>
      </c>
      <c r="AG65" s="72">
        <f t="shared" si="14"/>
        <v>154.35000000000002</v>
      </c>
      <c r="AH65" s="6"/>
    </row>
    <row r="66" spans="1:33" ht="15.75">
      <c r="A66" s="3" t="s">
        <v>2</v>
      </c>
      <c r="B66" s="72">
        <v>36.685</v>
      </c>
      <c r="C66" s="72">
        <v>145.445</v>
      </c>
      <c r="D66" s="67"/>
      <c r="E66" s="67"/>
      <c r="F66" s="67"/>
      <c r="G66" s="67"/>
      <c r="H66" s="67">
        <v>1.7</v>
      </c>
      <c r="I66" s="67"/>
      <c r="J66" s="72"/>
      <c r="K66" s="67"/>
      <c r="L66" s="72">
        <v>0.2</v>
      </c>
      <c r="M66" s="67"/>
      <c r="N66" s="67"/>
      <c r="O66" s="71">
        <v>0.8</v>
      </c>
      <c r="P66" s="67"/>
      <c r="Q66" s="67"/>
      <c r="R66" s="67"/>
      <c r="S66" s="72"/>
      <c r="T66" s="72"/>
      <c r="U66" s="72"/>
      <c r="V66" s="72">
        <v>20</v>
      </c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22.7</v>
      </c>
      <c r="AG66" s="72">
        <f t="shared" si="14"/>
        <v>159.43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/>
      <c r="P67" s="67"/>
      <c r="Q67" s="67"/>
      <c r="R67" s="67"/>
      <c r="S67" s="72"/>
      <c r="T67" s="72"/>
      <c r="U67" s="67"/>
      <c r="V67" s="67">
        <v>110</v>
      </c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>B62-B63-B66-B67-B65-B64</f>
        <v>1044.3200000000004</v>
      </c>
      <c r="C68" s="72">
        <v>2946.350999999999</v>
      </c>
      <c r="D68" s="67">
        <f aca="true" t="shared" si="15" ref="D68:AD68">D62-D63-D66-D67-D65-D64</f>
        <v>0</v>
      </c>
      <c r="E68" s="67">
        <f t="shared" si="15"/>
        <v>0</v>
      </c>
      <c r="F68" s="67">
        <f t="shared" si="15"/>
        <v>7.7</v>
      </c>
      <c r="G68" s="67">
        <f t="shared" si="15"/>
        <v>0</v>
      </c>
      <c r="H68" s="67">
        <f t="shared" si="15"/>
        <v>225.40000000000003</v>
      </c>
      <c r="I68" s="67">
        <f t="shared" si="15"/>
        <v>0</v>
      </c>
      <c r="J68" s="72">
        <f t="shared" si="15"/>
        <v>0</v>
      </c>
      <c r="K68" s="67">
        <f t="shared" si="15"/>
        <v>132.10000000000002</v>
      </c>
      <c r="L68" s="72">
        <f t="shared" si="15"/>
        <v>1.8</v>
      </c>
      <c r="M68" s="67">
        <f t="shared" si="15"/>
        <v>0</v>
      </c>
      <c r="N68" s="67">
        <f t="shared" si="15"/>
        <v>0</v>
      </c>
      <c r="O68" s="67">
        <f t="shared" si="15"/>
        <v>139.5</v>
      </c>
      <c r="P68" s="67">
        <f t="shared" si="15"/>
        <v>0</v>
      </c>
      <c r="Q68" s="67">
        <f t="shared" si="15"/>
        <v>0</v>
      </c>
      <c r="R68" s="67">
        <f t="shared" si="15"/>
        <v>10.4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450.40000000000003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967.3000000000002</v>
      </c>
      <c r="AG68" s="72">
        <f>AG62-AG63-AG66-AG67-AG65-AG64</f>
        <v>3023.3709999999987</v>
      </c>
    </row>
    <row r="69" spans="1:33" ht="31.5">
      <c r="A69" s="4" t="s">
        <v>45</v>
      </c>
      <c r="B69" s="72">
        <f>3134.2+1580</f>
        <v>4714.2</v>
      </c>
      <c r="C69" s="72">
        <v>57.638999999999214</v>
      </c>
      <c r="D69" s="67"/>
      <c r="E69" s="67"/>
      <c r="F69" s="67"/>
      <c r="G69" s="67"/>
      <c r="H69" s="67"/>
      <c r="I69" s="67"/>
      <c r="J69" s="72"/>
      <c r="K69" s="67"/>
      <c r="L69" s="72">
        <v>2083.6</v>
      </c>
      <c r="M69" s="67"/>
      <c r="N69" s="67"/>
      <c r="O69" s="67">
        <v>2630.6</v>
      </c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4714.2</v>
      </c>
      <c r="AG69" s="130">
        <f aca="true" t="shared" si="16" ref="AG69:AG92">B69+C69-AF69</f>
        <v>57.638999999999214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f>1314.6-2000+41.4</f>
        <v>-644.0000000000001</v>
      </c>
      <c r="C71" s="80">
        <v>1645.45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130">
        <f t="shared" si="16"/>
        <v>1001.4499999999999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791.8-20.9-130</f>
        <v>640.9</v>
      </c>
      <c r="C72" s="72">
        <v>3662.7</v>
      </c>
      <c r="D72" s="67"/>
      <c r="E72" s="67">
        <v>167.7</v>
      </c>
      <c r="F72" s="67">
        <v>6.1</v>
      </c>
      <c r="G72" s="67">
        <v>2.4</v>
      </c>
      <c r="H72" s="67">
        <v>2.7</v>
      </c>
      <c r="I72" s="67"/>
      <c r="J72" s="72">
        <v>27.7</v>
      </c>
      <c r="K72" s="67">
        <v>5.3</v>
      </c>
      <c r="L72" s="72"/>
      <c r="M72" s="67">
        <f>121.2-40.4</f>
        <v>80.80000000000001</v>
      </c>
      <c r="N72" s="67">
        <v>0.8</v>
      </c>
      <c r="O72" s="67">
        <v>26.7</v>
      </c>
      <c r="P72" s="67">
        <v>4.8</v>
      </c>
      <c r="Q72" s="71"/>
      <c r="R72" s="67">
        <v>15.1</v>
      </c>
      <c r="S72" s="72">
        <v>0.5</v>
      </c>
      <c r="T72" s="72">
        <f>256.1-57.2</f>
        <v>198.90000000000003</v>
      </c>
      <c r="U72" s="72"/>
      <c r="V72" s="72">
        <v>54.7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594.2</v>
      </c>
      <c r="AG72" s="130">
        <f t="shared" si="16"/>
        <v>3709.3999999999996</v>
      </c>
      <c r="AH72" s="86">
        <f>AG72+AG69+AG76+AG91+AG83+AG88</f>
        <v>4534.079249999999</v>
      </c>
    </row>
    <row r="73" spans="1:33" ht="15" customHeight="1">
      <c r="A73" s="3" t="s">
        <v>5</v>
      </c>
      <c r="B73" s="72">
        <v>45.4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>
        <v>45.4</v>
      </c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</v>
      </c>
    </row>
    <row r="74" spans="1:33" ht="15" customHeight="1">
      <c r="A74" s="3" t="s">
        <v>2</v>
      </c>
      <c r="B74" s="72">
        <f>25.8+77.3</f>
        <v>103.1</v>
      </c>
      <c r="C74" s="72">
        <v>500</v>
      </c>
      <c r="D74" s="67"/>
      <c r="E74" s="67">
        <v>46.3</v>
      </c>
      <c r="F74" s="67">
        <v>0.3</v>
      </c>
      <c r="G74" s="67">
        <v>2.4</v>
      </c>
      <c r="H74" s="67"/>
      <c r="I74" s="67"/>
      <c r="J74" s="72">
        <v>24</v>
      </c>
      <c r="K74" s="67"/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73</v>
      </c>
      <c r="AG74" s="130">
        <f t="shared" si="16"/>
        <v>530.1</v>
      </c>
    </row>
    <row r="75" spans="1:33" ht="15" customHeight="1">
      <c r="A75" s="3" t="s">
        <v>16</v>
      </c>
      <c r="B75" s="72">
        <f>124.1+12</f>
        <v>136.1</v>
      </c>
      <c r="C75" s="72">
        <v>270.7</v>
      </c>
      <c r="D75" s="67"/>
      <c r="E75" s="67"/>
      <c r="F75" s="67"/>
      <c r="G75" s="67"/>
      <c r="H75" s="67"/>
      <c r="I75" s="67"/>
      <c r="J75" s="72"/>
      <c r="K75" s="67">
        <v>3.6</v>
      </c>
      <c r="L75" s="72"/>
      <c r="M75" s="67">
        <v>6</v>
      </c>
      <c r="N75" s="67"/>
      <c r="O75" s="67"/>
      <c r="P75" s="67"/>
      <c r="Q75" s="71"/>
      <c r="R75" s="67"/>
      <c r="S75" s="72"/>
      <c r="T75" s="72">
        <v>7.4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17</v>
      </c>
      <c r="AG75" s="130">
        <f t="shared" si="16"/>
        <v>389.79999999999995</v>
      </c>
    </row>
    <row r="76" spans="1:35" s="11" customFormat="1" ht="15.75">
      <c r="A76" s="12" t="s">
        <v>48</v>
      </c>
      <c r="B76" s="72">
        <f>79.999+139.88125</f>
        <v>219.88025</v>
      </c>
      <c r="C76" s="72">
        <v>119.55999999999989</v>
      </c>
      <c r="D76" s="67"/>
      <c r="E76" s="79"/>
      <c r="F76" s="79">
        <v>10.5</v>
      </c>
      <c r="G76" s="79"/>
      <c r="H76" s="79">
        <v>20.5</v>
      </c>
      <c r="I76" s="79"/>
      <c r="J76" s="80">
        <v>56.2</v>
      </c>
      <c r="K76" s="79"/>
      <c r="L76" s="80"/>
      <c r="M76" s="79">
        <v>40.3</v>
      </c>
      <c r="N76" s="79"/>
      <c r="O76" s="79">
        <v>19.4</v>
      </c>
      <c r="P76" s="79"/>
      <c r="Q76" s="81"/>
      <c r="R76" s="79"/>
      <c r="S76" s="80">
        <v>18.3</v>
      </c>
      <c r="T76" s="80">
        <v>57.2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222.40000000000003</v>
      </c>
      <c r="AG76" s="130">
        <f t="shared" si="16"/>
        <v>117.04024999999984</v>
      </c>
      <c r="AI76" s="128"/>
    </row>
    <row r="77" spans="1:33" s="11" customFormat="1" ht="15.75">
      <c r="A77" s="3" t="s">
        <v>5</v>
      </c>
      <c r="B77" s="72">
        <v>110.4</v>
      </c>
      <c r="C77" s="72">
        <v>11.299999999999983</v>
      </c>
      <c r="D77" s="67"/>
      <c r="E77" s="79"/>
      <c r="F77" s="79">
        <v>10.5</v>
      </c>
      <c r="G77" s="79"/>
      <c r="H77" s="79"/>
      <c r="I77" s="79"/>
      <c r="J77" s="80">
        <v>37.7</v>
      </c>
      <c r="K77" s="79"/>
      <c r="L77" s="80"/>
      <c r="M77" s="79"/>
      <c r="N77" s="79"/>
      <c r="O77" s="79">
        <v>14.2</v>
      </c>
      <c r="P77" s="79"/>
      <c r="Q77" s="81"/>
      <c r="R77" s="79"/>
      <c r="S77" s="80"/>
      <c r="T77" s="80">
        <v>56.6</v>
      </c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119</v>
      </c>
      <c r="AG77" s="130">
        <f t="shared" si="16"/>
        <v>2.6999999999999886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12.3</v>
      </c>
      <c r="D80" s="67"/>
      <c r="E80" s="79"/>
      <c r="F80" s="79"/>
      <c r="G80" s="79"/>
      <c r="H80" s="79"/>
      <c r="I80" s="79"/>
      <c r="J80" s="80"/>
      <c r="K80" s="79"/>
      <c r="L80" s="80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</v>
      </c>
      <c r="AG80" s="130">
        <f t="shared" si="16"/>
        <v>12.8</v>
      </c>
    </row>
    <row r="81" spans="1:33" s="11" customFormat="1" ht="15.75">
      <c r="A81" s="12" t="s">
        <v>49</v>
      </c>
      <c r="B81" s="72">
        <v>38.8</v>
      </c>
      <c r="C81" s="80">
        <v>0</v>
      </c>
      <c r="D81" s="79"/>
      <c r="E81" s="79"/>
      <c r="F81" s="79"/>
      <c r="G81" s="79"/>
      <c r="H81" s="79"/>
      <c r="I81" s="79"/>
      <c r="J81" s="80">
        <v>38.8</v>
      </c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38.8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6251+3950+7337.3</f>
        <v>17538.3</v>
      </c>
      <c r="C89" s="72">
        <v>1877.8999999999978</v>
      </c>
      <c r="D89" s="67"/>
      <c r="E89" s="67"/>
      <c r="F89" s="67"/>
      <c r="G89" s="67">
        <v>1176.7</v>
      </c>
      <c r="H89" s="67">
        <v>5410.4</v>
      </c>
      <c r="I89" s="67"/>
      <c r="J89" s="72">
        <v>3488.2</v>
      </c>
      <c r="K89" s="67">
        <v>35.9</v>
      </c>
      <c r="L89" s="72">
        <v>11.8</v>
      </c>
      <c r="M89" s="67"/>
      <c r="N89" s="67">
        <v>575</v>
      </c>
      <c r="O89" s="67"/>
      <c r="P89" s="67"/>
      <c r="Q89" s="67">
        <v>2397.4</v>
      </c>
      <c r="R89" s="67"/>
      <c r="S89" s="72"/>
      <c r="T89" s="72"/>
      <c r="U89" s="67"/>
      <c r="V89" s="67">
        <v>452.4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13547.799999999997</v>
      </c>
      <c r="AG89" s="72">
        <f t="shared" si="16"/>
        <v>5868.4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>
        <v>1173.1</v>
      </c>
      <c r="J90" s="72"/>
      <c r="K90" s="67"/>
      <c r="L90" s="72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>
        <v>1173.1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560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560</v>
      </c>
      <c r="AH91" s="11"/>
    </row>
    <row r="92" spans="1:34" ht="15.75">
      <c r="A92" s="4" t="s">
        <v>37</v>
      </c>
      <c r="B92" s="72">
        <f>31891-3950+280-1580-5176.3</f>
        <v>21464.7</v>
      </c>
      <c r="C92" s="72">
        <v>85985.9</v>
      </c>
      <c r="D92" s="67">
        <v>940.1</v>
      </c>
      <c r="E92" s="67">
        <v>105.1</v>
      </c>
      <c r="F92" s="67">
        <v>1803.5</v>
      </c>
      <c r="G92" s="67"/>
      <c r="H92" s="67">
        <v>948.2</v>
      </c>
      <c r="I92" s="67">
        <v>1174.2</v>
      </c>
      <c r="J92" s="72">
        <v>1202.5</v>
      </c>
      <c r="K92" s="67">
        <v>1193.2</v>
      </c>
      <c r="L92" s="72">
        <v>8548.2</v>
      </c>
      <c r="M92" s="67">
        <v>791.5</v>
      </c>
      <c r="N92" s="67">
        <v>51.6</v>
      </c>
      <c r="O92" s="67">
        <v>1522.7</v>
      </c>
      <c r="P92" s="67">
        <v>3915.1</v>
      </c>
      <c r="Q92" s="67">
        <v>934.2</v>
      </c>
      <c r="R92" s="67">
        <v>2112.2</v>
      </c>
      <c r="S92" s="72">
        <v>1271.9</v>
      </c>
      <c r="T92" s="72">
        <v>700</v>
      </c>
      <c r="U92" s="67"/>
      <c r="V92" s="67">
        <v>169.8</v>
      </c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27384</v>
      </c>
      <c r="AG92" s="72">
        <f t="shared" si="16"/>
        <v>80066.59999999999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161416.09403</v>
      </c>
      <c r="C94" s="132">
        <f t="shared" si="17"/>
        <v>159530.52548999997</v>
      </c>
      <c r="D94" s="83">
        <f t="shared" si="17"/>
        <v>1436.5</v>
      </c>
      <c r="E94" s="83">
        <f t="shared" si="17"/>
        <v>381.20000000000005</v>
      </c>
      <c r="F94" s="83">
        <f t="shared" si="17"/>
        <v>2441.8</v>
      </c>
      <c r="G94" s="83">
        <f t="shared" si="17"/>
        <v>2569.4</v>
      </c>
      <c r="H94" s="83">
        <f t="shared" si="17"/>
        <v>8748.5</v>
      </c>
      <c r="I94" s="83">
        <f t="shared" si="17"/>
        <v>2859.7</v>
      </c>
      <c r="J94" s="132">
        <f t="shared" si="17"/>
        <v>6129.9</v>
      </c>
      <c r="K94" s="83">
        <f t="shared" si="17"/>
        <v>35739.8</v>
      </c>
      <c r="L94" s="132">
        <f t="shared" si="17"/>
        <v>13879.300000000001</v>
      </c>
      <c r="M94" s="83">
        <f t="shared" si="17"/>
        <v>2683</v>
      </c>
      <c r="N94" s="83">
        <f t="shared" si="17"/>
        <v>1741.0999999999997</v>
      </c>
      <c r="O94" s="83">
        <f t="shared" si="17"/>
        <v>4721.4</v>
      </c>
      <c r="P94" s="83">
        <f t="shared" si="17"/>
        <v>4995.799999999999</v>
      </c>
      <c r="Q94" s="83">
        <f t="shared" si="17"/>
        <v>5927.5</v>
      </c>
      <c r="R94" s="83">
        <f t="shared" si="17"/>
        <v>2698.6</v>
      </c>
      <c r="S94" s="83">
        <f t="shared" si="17"/>
        <v>7874.200000000001</v>
      </c>
      <c r="T94" s="83">
        <f t="shared" si="17"/>
        <v>3831.4</v>
      </c>
      <c r="U94" s="83">
        <f t="shared" si="17"/>
        <v>0</v>
      </c>
      <c r="V94" s="83">
        <f t="shared" si="17"/>
        <v>51961.8</v>
      </c>
      <c r="W94" s="83">
        <f t="shared" si="17"/>
        <v>1049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161669.90000000002</v>
      </c>
      <c r="AG94" s="84">
        <f>AG10+AG15+AG24+AG33+AG47+AG52+AG54+AG61+AG62+AG69+AG71+AG72+AG76+AG81+AG82+AG83+AG88+AG89+AG90+AG91+AG70+AG40+AG92</f>
        <v>159276.71951999996</v>
      </c>
    </row>
    <row r="95" spans="1:33" ht="15.75">
      <c r="A95" s="3" t="s">
        <v>5</v>
      </c>
      <c r="B95" s="22">
        <f>B11+B17+B26+B34+B55+B63+B73+B41+B77+B48</f>
        <v>69896.16</v>
      </c>
      <c r="C95" s="109">
        <f aca="true" t="shared" si="18" ref="C95:AD95">C11+C17+C26+C34+C55+C63+C73+C41+C77+C48</f>
        <v>22500.331999999995</v>
      </c>
      <c r="D95" s="67">
        <f t="shared" si="18"/>
        <v>496.4</v>
      </c>
      <c r="E95" s="67">
        <f t="shared" si="18"/>
        <v>26</v>
      </c>
      <c r="F95" s="67">
        <f t="shared" si="18"/>
        <v>82.3</v>
      </c>
      <c r="G95" s="67">
        <f t="shared" si="18"/>
        <v>11.9</v>
      </c>
      <c r="H95" s="67">
        <f t="shared" si="18"/>
        <v>0</v>
      </c>
      <c r="I95" s="67">
        <f t="shared" si="18"/>
        <v>342.59999999999997</v>
      </c>
      <c r="J95" s="72">
        <f t="shared" si="18"/>
        <v>586.2</v>
      </c>
      <c r="K95" s="67">
        <f t="shared" si="18"/>
        <v>24296.899999999998</v>
      </c>
      <c r="L95" s="72">
        <f t="shared" si="18"/>
        <v>2786.8999999999996</v>
      </c>
      <c r="M95" s="67">
        <f t="shared" si="18"/>
        <v>2.9</v>
      </c>
      <c r="N95" s="67">
        <f t="shared" si="18"/>
        <v>0</v>
      </c>
      <c r="O95" s="67">
        <f t="shared" si="18"/>
        <v>44.599999999999994</v>
      </c>
      <c r="P95" s="67">
        <f t="shared" si="18"/>
        <v>5.7</v>
      </c>
      <c r="Q95" s="67">
        <f t="shared" si="18"/>
        <v>0.4</v>
      </c>
      <c r="R95" s="67">
        <f t="shared" si="18"/>
        <v>0</v>
      </c>
      <c r="S95" s="67">
        <f t="shared" si="18"/>
        <v>0</v>
      </c>
      <c r="T95" s="67">
        <f t="shared" si="18"/>
        <v>102</v>
      </c>
      <c r="U95" s="67">
        <f t="shared" si="18"/>
        <v>0</v>
      </c>
      <c r="V95" s="67">
        <f t="shared" si="18"/>
        <v>40698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69482.8</v>
      </c>
      <c r="AG95" s="71">
        <f>B95+C95-AF95</f>
        <v>22913.691999999995</v>
      </c>
    </row>
    <row r="96" spans="1:33" ht="15.75">
      <c r="A96" s="3" t="s">
        <v>2</v>
      </c>
      <c r="B96" s="22">
        <f aca="true" t="shared" si="19" ref="B96:AD96">B12+B20+B29+B36+B57+B66+B44+B80+B74+B53</f>
        <v>2647.9089999999997</v>
      </c>
      <c r="C96" s="109">
        <f t="shared" si="19"/>
        <v>2538.8619999999996</v>
      </c>
      <c r="D96" s="67">
        <f t="shared" si="19"/>
        <v>0</v>
      </c>
      <c r="E96" s="67">
        <f t="shared" si="19"/>
        <v>47</v>
      </c>
      <c r="F96" s="67">
        <f t="shared" si="19"/>
        <v>37.699999999999996</v>
      </c>
      <c r="G96" s="67">
        <f t="shared" si="19"/>
        <v>2.4</v>
      </c>
      <c r="H96" s="67">
        <f t="shared" si="19"/>
        <v>4.3</v>
      </c>
      <c r="I96" s="67">
        <f t="shared" si="19"/>
        <v>2</v>
      </c>
      <c r="J96" s="72">
        <f t="shared" si="19"/>
        <v>141.4</v>
      </c>
      <c r="K96" s="67">
        <f t="shared" si="19"/>
        <v>145.2</v>
      </c>
      <c r="L96" s="72">
        <f t="shared" si="19"/>
        <v>6.2</v>
      </c>
      <c r="M96" s="67">
        <f t="shared" si="19"/>
        <v>0</v>
      </c>
      <c r="N96" s="67">
        <f t="shared" si="19"/>
        <v>9.8</v>
      </c>
      <c r="O96" s="67">
        <f t="shared" si="19"/>
        <v>33.5</v>
      </c>
      <c r="P96" s="67">
        <f t="shared" si="19"/>
        <v>408.1</v>
      </c>
      <c r="Q96" s="67">
        <f t="shared" si="19"/>
        <v>125.7</v>
      </c>
      <c r="R96" s="67">
        <f t="shared" si="19"/>
        <v>72.9</v>
      </c>
      <c r="S96" s="67">
        <f t="shared" si="19"/>
        <v>17</v>
      </c>
      <c r="T96" s="67">
        <f t="shared" si="19"/>
        <v>63</v>
      </c>
      <c r="U96" s="67">
        <f t="shared" si="19"/>
        <v>0</v>
      </c>
      <c r="V96" s="67">
        <f t="shared" si="19"/>
        <v>132.2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1248.4</v>
      </c>
      <c r="AG96" s="71">
        <f>B96+C96-AF96</f>
        <v>3938.3709999999987</v>
      </c>
    </row>
    <row r="97" spans="1:33" ht="15.75">
      <c r="A97" s="3" t="s">
        <v>3</v>
      </c>
      <c r="B97" s="22">
        <f aca="true" t="shared" si="20" ref="B97:AA97">B18+B27+B42+B64+B78</f>
        <v>24.9</v>
      </c>
      <c r="C97" s="109">
        <f t="shared" si="20"/>
        <v>10.999999999999998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1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3.4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4.4</v>
      </c>
      <c r="AG97" s="71">
        <f>B97+C97-AF97</f>
        <v>31.5</v>
      </c>
    </row>
    <row r="98" spans="1:33" ht="15.75">
      <c r="A98" s="3" t="s">
        <v>1</v>
      </c>
      <c r="B98" s="22">
        <f aca="true" t="shared" si="21" ref="B98:AD98">B19+B28+B65+B35+B43+B56+B79</f>
        <v>1213.3500000000001</v>
      </c>
      <c r="C98" s="109">
        <f t="shared" si="21"/>
        <v>6915.586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0</v>
      </c>
      <c r="H98" s="67">
        <f t="shared" si="21"/>
        <v>272.4</v>
      </c>
      <c r="I98" s="67">
        <f t="shared" si="21"/>
        <v>0</v>
      </c>
      <c r="J98" s="72">
        <f t="shared" si="21"/>
        <v>51.1</v>
      </c>
      <c r="K98" s="67">
        <f t="shared" si="21"/>
        <v>0</v>
      </c>
      <c r="L98" s="72">
        <f t="shared" si="21"/>
        <v>280.9</v>
      </c>
      <c r="M98" s="67">
        <f t="shared" si="21"/>
        <v>48.1</v>
      </c>
      <c r="N98" s="67">
        <f t="shared" si="21"/>
        <v>157.6</v>
      </c>
      <c r="O98" s="67">
        <f t="shared" si="21"/>
        <v>0</v>
      </c>
      <c r="P98" s="67">
        <f t="shared" si="21"/>
        <v>521.2</v>
      </c>
      <c r="Q98" s="67">
        <f t="shared" si="21"/>
        <v>247.7</v>
      </c>
      <c r="R98" s="67">
        <f t="shared" si="21"/>
        <v>188.5</v>
      </c>
      <c r="S98" s="67">
        <f t="shared" si="21"/>
        <v>416.8</v>
      </c>
      <c r="T98" s="67">
        <f t="shared" si="21"/>
        <v>97</v>
      </c>
      <c r="U98" s="67">
        <f t="shared" si="21"/>
        <v>0</v>
      </c>
      <c r="V98" s="67">
        <f t="shared" si="21"/>
        <v>548.9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2830.2000000000003</v>
      </c>
      <c r="AG98" s="71">
        <f>B98+C98-AF98</f>
        <v>5298.736000000001</v>
      </c>
    </row>
    <row r="99" spans="1:33" ht="15.75">
      <c r="A99" s="3" t="s">
        <v>16</v>
      </c>
      <c r="B99" s="22">
        <f aca="true" t="shared" si="22" ref="B99:X99">B21+B30+B49+B37+B58+B13+B75+B67</f>
        <v>2087.9019</v>
      </c>
      <c r="C99" s="109">
        <f t="shared" si="22"/>
        <v>3426.636</v>
      </c>
      <c r="D99" s="67">
        <f t="shared" si="22"/>
        <v>0</v>
      </c>
      <c r="E99" s="67">
        <f t="shared" si="22"/>
        <v>0</v>
      </c>
      <c r="F99" s="67">
        <f t="shared" si="22"/>
        <v>146.5</v>
      </c>
      <c r="G99" s="67">
        <f t="shared" si="22"/>
        <v>850.5</v>
      </c>
      <c r="H99" s="67">
        <f t="shared" si="22"/>
        <v>34.5</v>
      </c>
      <c r="I99" s="67">
        <f t="shared" si="22"/>
        <v>0</v>
      </c>
      <c r="J99" s="72">
        <f t="shared" si="22"/>
        <v>57.7</v>
      </c>
      <c r="K99" s="67">
        <f t="shared" si="22"/>
        <v>37.800000000000004</v>
      </c>
      <c r="L99" s="72">
        <f t="shared" si="22"/>
        <v>41.6</v>
      </c>
      <c r="M99" s="67">
        <f t="shared" si="22"/>
        <v>22.3</v>
      </c>
      <c r="N99" s="67">
        <f t="shared" si="22"/>
        <v>131.10000000000002</v>
      </c>
      <c r="O99" s="67">
        <f t="shared" si="22"/>
        <v>0</v>
      </c>
      <c r="P99" s="67">
        <f t="shared" si="22"/>
        <v>0</v>
      </c>
      <c r="Q99" s="67">
        <f t="shared" si="22"/>
        <v>334.29999999999995</v>
      </c>
      <c r="R99" s="67">
        <f t="shared" si="22"/>
        <v>168</v>
      </c>
      <c r="S99" s="67">
        <f t="shared" si="22"/>
        <v>85</v>
      </c>
      <c r="T99" s="67">
        <f t="shared" si="22"/>
        <v>168.4</v>
      </c>
      <c r="U99" s="67">
        <f t="shared" si="22"/>
        <v>0</v>
      </c>
      <c r="V99" s="67">
        <f t="shared" si="22"/>
        <v>378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2455.7</v>
      </c>
      <c r="AG99" s="71">
        <f>B99+C99-AF99</f>
        <v>3058.8378999999995</v>
      </c>
    </row>
    <row r="100" spans="1:33" ht="12.75">
      <c r="A100" s="1" t="s">
        <v>35</v>
      </c>
      <c r="B100" s="2">
        <f aca="true" t="shared" si="24" ref="B100:AD100">B94-B95-B96-B97-B98-B99</f>
        <v>85545.87313</v>
      </c>
      <c r="C100" s="20">
        <f t="shared" si="24"/>
        <v>124138.10948999999</v>
      </c>
      <c r="D100" s="85">
        <f t="shared" si="24"/>
        <v>940.1</v>
      </c>
      <c r="E100" s="85">
        <f t="shared" si="24"/>
        <v>308.20000000000005</v>
      </c>
      <c r="F100" s="85">
        <f t="shared" si="24"/>
        <v>2175.3</v>
      </c>
      <c r="G100" s="85">
        <f t="shared" si="24"/>
        <v>1704.6</v>
      </c>
      <c r="H100" s="85">
        <f t="shared" si="24"/>
        <v>8436.300000000001</v>
      </c>
      <c r="I100" s="85">
        <f t="shared" si="24"/>
        <v>2515.1</v>
      </c>
      <c r="J100" s="131">
        <f t="shared" si="24"/>
        <v>5293.5</v>
      </c>
      <c r="K100" s="85">
        <f t="shared" si="24"/>
        <v>11259.900000000005</v>
      </c>
      <c r="L100" s="131">
        <f t="shared" si="24"/>
        <v>10763.7</v>
      </c>
      <c r="M100" s="85">
        <f t="shared" si="24"/>
        <v>2609.7</v>
      </c>
      <c r="N100" s="85">
        <f t="shared" si="24"/>
        <v>1439.1999999999998</v>
      </c>
      <c r="O100" s="85">
        <f t="shared" si="24"/>
        <v>4643.299999999999</v>
      </c>
      <c r="P100" s="85">
        <f t="shared" si="24"/>
        <v>4060.7999999999993</v>
      </c>
      <c r="Q100" s="85">
        <f t="shared" si="24"/>
        <v>5219.400000000001</v>
      </c>
      <c r="R100" s="85">
        <f t="shared" si="24"/>
        <v>2269.2</v>
      </c>
      <c r="S100" s="85">
        <f t="shared" si="24"/>
        <v>7355.400000000001</v>
      </c>
      <c r="T100" s="85">
        <f t="shared" si="24"/>
        <v>3401</v>
      </c>
      <c r="U100" s="85">
        <f t="shared" si="24"/>
        <v>0</v>
      </c>
      <c r="V100" s="85">
        <f t="shared" si="24"/>
        <v>10204.700000000003</v>
      </c>
      <c r="W100" s="85">
        <f t="shared" si="24"/>
        <v>1049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85648.40000000004</v>
      </c>
      <c r="AG100" s="85">
        <f>AG94-AG95-AG96-AG97-AG98-AG99</f>
        <v>124035.58261999996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2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2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C186"/>
  <sheetViews>
    <sheetView zoomScale="70" zoomScaleNormal="70" zoomScalePageLayoutView="0" workbookViewId="0" topLeftCell="A32">
      <pane xSplit="1" topLeftCell="B1" activePane="topRight" state="frozen"/>
      <selection pane="topLeft" activeCell="A1" sqref="A1"/>
      <selection pane="topRight" activeCell="B71" sqref="B7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10.625" style="0" customWidth="1"/>
    <col min="12" max="12" width="9.875" style="18" bestFit="1" customWidth="1"/>
    <col min="13" max="13" width="9.00390625" style="0" customWidth="1"/>
    <col min="14" max="14" width="8.25390625" style="0" hidden="1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10.875" style="0" customWidth="1"/>
    <col min="24" max="24" width="10.125" style="18" customWidth="1"/>
    <col min="25" max="25" width="12.125" style="18" customWidth="1"/>
    <col min="26" max="26" width="10.625" style="18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2.125" style="0" customWidth="1"/>
    <col min="33" max="33" width="14.875" style="0" customWidth="1"/>
    <col min="34" max="34" width="9.25390625" style="0" hidden="1" customWidth="1"/>
  </cols>
  <sheetData>
    <row r="1" spans="1:33" ht="21" customHeight="1">
      <c r="A1" s="160" t="s">
        <v>12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</row>
    <row r="2" spans="1:33" ht="22.5" customHeight="1">
      <c r="A2" s="161" t="s">
        <v>73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72</v>
      </c>
      <c r="C4" s="90" t="s">
        <v>18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19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>
        <v>30</v>
      </c>
      <c r="Z4" s="19">
        <v>31</v>
      </c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34874.4</v>
      </c>
      <c r="C7" s="129">
        <v>10314.350000000013</v>
      </c>
      <c r="D7" s="38"/>
      <c r="E7" s="38">
        <v>17437.2</v>
      </c>
      <c r="F7" s="38"/>
      <c r="G7" s="38"/>
      <c r="H7" s="56"/>
      <c r="I7" s="38"/>
      <c r="J7" s="39"/>
      <c r="K7" s="38"/>
      <c r="L7" s="39">
        <v>17437.2</v>
      </c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C7+E7+L7-AF16-AF25</f>
        <v>3320.150000000014</v>
      </c>
      <c r="AF7" s="54"/>
      <c r="AG7" s="40"/>
    </row>
    <row r="8" spans="1:55" ht="18" customHeight="1">
      <c r="A8" s="47" t="s">
        <v>30</v>
      </c>
      <c r="B8" s="33">
        <f>SUM(E8:AB8)</f>
        <v>138485.5</v>
      </c>
      <c r="C8" s="103">
        <v>157804.54</v>
      </c>
      <c r="D8" s="59">
        <v>40033.3</v>
      </c>
      <c r="E8" s="60">
        <v>3993.7</v>
      </c>
      <c r="F8" s="137">
        <v>3372.1</v>
      </c>
      <c r="G8" s="137">
        <v>3980.9</v>
      </c>
      <c r="H8" s="137">
        <v>4389.9</v>
      </c>
      <c r="I8" s="137">
        <v>14631.6</v>
      </c>
      <c r="J8" s="138">
        <v>4306.6</v>
      </c>
      <c r="K8" s="138">
        <v>3117.8</v>
      </c>
      <c r="L8" s="138">
        <v>2752</v>
      </c>
      <c r="M8" s="137">
        <v>6795.3</v>
      </c>
      <c r="N8" s="137"/>
      <c r="O8" s="137">
        <v>10971.1</v>
      </c>
      <c r="P8" s="137">
        <v>6948.9</v>
      </c>
      <c r="Q8" s="137">
        <v>4222.3</v>
      </c>
      <c r="R8" s="137">
        <v>4689.7</v>
      </c>
      <c r="S8" s="63">
        <v>9158.8</v>
      </c>
      <c r="T8" s="63">
        <v>7663.5</v>
      </c>
      <c r="U8" s="61">
        <v>4862.3</v>
      </c>
      <c r="V8" s="61">
        <v>4112.7</v>
      </c>
      <c r="W8" s="61">
        <v>6447.7</v>
      </c>
      <c r="X8" s="62">
        <v>7734.3</v>
      </c>
      <c r="Y8" s="62">
        <v>9668.2</v>
      </c>
      <c r="Z8" s="62">
        <v>14666.1</v>
      </c>
      <c r="AA8" s="62"/>
      <c r="AB8" s="61"/>
      <c r="AC8" s="64"/>
      <c r="AD8" s="64"/>
      <c r="AE8" s="65">
        <f>SUM(D8:AD8)+C8-AF9+AF16+AF25</f>
        <v>152426.24000000008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104">
        <f>B10+B15+B24+B33+B47+B52+B54+B61+B62+B71+B72+B88+B76+B81+B83+B82+B69+B89+B90+B91+B70+B40+B92</f>
        <v>178320.2</v>
      </c>
      <c r="C9" s="104">
        <f aca="true" t="shared" si="0" ref="C9:AD9">C10+C15+C24+C33+C47+C52+C54+C61+C62+C71+C72+C88+C76+C81+C83+C82+C69+C89+C90+C91+C70+C40+C92</f>
        <v>159276.81951999996</v>
      </c>
      <c r="D9" s="68">
        <f t="shared" si="0"/>
        <v>317.2</v>
      </c>
      <c r="E9" s="68">
        <f t="shared" si="0"/>
        <v>7981.900000000001</v>
      </c>
      <c r="F9" s="68">
        <f t="shared" si="0"/>
        <v>277.8</v>
      </c>
      <c r="G9" s="68">
        <f t="shared" si="0"/>
        <v>5021.8</v>
      </c>
      <c r="H9" s="68">
        <f t="shared" si="0"/>
        <v>5792.799999999999</v>
      </c>
      <c r="I9" s="68">
        <f t="shared" si="0"/>
        <v>0</v>
      </c>
      <c r="J9" s="104">
        <f t="shared" si="0"/>
        <v>0</v>
      </c>
      <c r="K9" s="68">
        <f t="shared" si="0"/>
        <v>41946.19999999999</v>
      </c>
      <c r="L9" s="104">
        <f>L10+L15+L24+L33+L47+L52+L54+L61+L62+L71+L72+L88+L76+L81+L83+L82+L69+L89+L90+L91+L70+L40+L92</f>
        <v>27848.6</v>
      </c>
      <c r="M9" s="68">
        <f t="shared" si="0"/>
        <v>4398.6</v>
      </c>
      <c r="N9" s="68">
        <f t="shared" si="0"/>
        <v>0</v>
      </c>
      <c r="O9" s="68">
        <f t="shared" si="0"/>
        <v>1952.7999999999997</v>
      </c>
      <c r="P9" s="68">
        <f t="shared" si="0"/>
        <v>6029.1</v>
      </c>
      <c r="Q9" s="68">
        <f t="shared" si="0"/>
        <v>860.3</v>
      </c>
      <c r="R9" s="68">
        <f t="shared" si="0"/>
        <v>8699</v>
      </c>
      <c r="S9" s="68">
        <f t="shared" si="0"/>
        <v>6183.6</v>
      </c>
      <c r="T9" s="68">
        <f t="shared" si="0"/>
        <v>6632.5</v>
      </c>
      <c r="U9" s="68">
        <f t="shared" si="0"/>
        <v>2947.2</v>
      </c>
      <c r="V9" s="68">
        <f t="shared" si="0"/>
        <v>1761.8</v>
      </c>
      <c r="W9" s="68">
        <f t="shared" si="0"/>
        <v>62934.600000000006</v>
      </c>
      <c r="X9" s="68">
        <f t="shared" si="0"/>
        <v>11683</v>
      </c>
      <c r="Y9" s="68">
        <f t="shared" si="0"/>
        <v>10750.099999999999</v>
      </c>
      <c r="Z9" s="68">
        <f t="shared" si="0"/>
        <v>11746.8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225765.7</v>
      </c>
      <c r="AG9" s="69">
        <f>AG10+AG15+AG24+AG33+AG47+AG52+AG54+AG61+AG62+AG71+AG72+AG76+AG88+AG81+AG83+AG82+AG69+AG89+AG91+AG90+AG70+AG40+AG92</f>
        <v>111831.31951999996</v>
      </c>
      <c r="AH9" s="41"/>
      <c r="AI9" s="41"/>
    </row>
    <row r="10" spans="1:34" ht="15.75">
      <c r="A10" s="4" t="s">
        <v>4</v>
      </c>
      <c r="B10" s="72">
        <f>14473.3+100-321</f>
        <v>14252.3</v>
      </c>
      <c r="C10" s="72">
        <v>6069.596999999998</v>
      </c>
      <c r="D10" s="67">
        <v>317.2</v>
      </c>
      <c r="E10" s="67">
        <v>122.6</v>
      </c>
      <c r="F10" s="67">
        <v>113.6</v>
      </c>
      <c r="G10" s="67">
        <v>16.9</v>
      </c>
      <c r="H10" s="67">
        <v>75.3</v>
      </c>
      <c r="I10" s="67"/>
      <c r="J10" s="70"/>
      <c r="K10" s="67">
        <v>3216</v>
      </c>
      <c r="L10" s="72">
        <f>2093.2+8.3</f>
        <v>2101.5</v>
      </c>
      <c r="M10" s="67">
        <v>15.6</v>
      </c>
      <c r="N10" s="67"/>
      <c r="O10" s="71">
        <v>22.2</v>
      </c>
      <c r="P10" s="67">
        <v>11.5</v>
      </c>
      <c r="Q10" s="67">
        <v>23.9</v>
      </c>
      <c r="R10" s="67">
        <v>148</v>
      </c>
      <c r="S10" s="72">
        <v>20.7</v>
      </c>
      <c r="T10" s="72">
        <v>34.4</v>
      </c>
      <c r="U10" s="72">
        <v>8.5</v>
      </c>
      <c r="V10" s="72">
        <v>19.4</v>
      </c>
      <c r="W10" s="72">
        <v>2075</v>
      </c>
      <c r="X10" s="67">
        <f>504.2+2424.9</f>
        <v>2929.1</v>
      </c>
      <c r="Y10" s="71">
        <v>4743</v>
      </c>
      <c r="Z10" s="72"/>
      <c r="AA10" s="72"/>
      <c r="AB10" s="67"/>
      <c r="AC10" s="67"/>
      <c r="AD10" s="67"/>
      <c r="AE10" s="67"/>
      <c r="AF10" s="67">
        <f>SUM(D10:AD10)</f>
        <v>16014.4</v>
      </c>
      <c r="AG10" s="72">
        <f>B10+C10-AF10</f>
        <v>4307.496999999998</v>
      </c>
      <c r="AH10" s="18"/>
    </row>
    <row r="11" spans="1:34" ht="15.75">
      <c r="A11" s="3" t="s">
        <v>5</v>
      </c>
      <c r="B11" s="72">
        <f>13603.4+273.6+100-321</f>
        <v>13656</v>
      </c>
      <c r="C11" s="72">
        <v>4010.6950000000033</v>
      </c>
      <c r="D11" s="67">
        <v>317.2</v>
      </c>
      <c r="E11" s="67">
        <v>103.5</v>
      </c>
      <c r="F11" s="67"/>
      <c r="G11" s="67"/>
      <c r="H11" s="67"/>
      <c r="I11" s="67"/>
      <c r="J11" s="72"/>
      <c r="K11" s="67">
        <v>3143.7</v>
      </c>
      <c r="L11" s="72">
        <v>2085.3</v>
      </c>
      <c r="M11" s="67"/>
      <c r="N11" s="67"/>
      <c r="O11" s="71">
        <v>10.7</v>
      </c>
      <c r="P11" s="67"/>
      <c r="Q11" s="67"/>
      <c r="R11" s="67"/>
      <c r="S11" s="72"/>
      <c r="T11" s="72">
        <v>12.5</v>
      </c>
      <c r="U11" s="72"/>
      <c r="V11" s="72"/>
      <c r="W11" s="72">
        <v>1865.8</v>
      </c>
      <c r="X11" s="67">
        <f>504+2331.7</f>
        <v>2835.7</v>
      </c>
      <c r="Y11" s="72">
        <v>4721.6</v>
      </c>
      <c r="Z11" s="72"/>
      <c r="AA11" s="72"/>
      <c r="AB11" s="67"/>
      <c r="AC11" s="67"/>
      <c r="AD11" s="67"/>
      <c r="AE11" s="67"/>
      <c r="AF11" s="67">
        <f aca="true" t="shared" si="1" ref="AF11:AF59">SUM(D11:AD11)</f>
        <v>15096</v>
      </c>
      <c r="AG11" s="72">
        <f>B11+C11-AF11</f>
        <v>2570.6950000000033</v>
      </c>
      <c r="AH11" s="18"/>
    </row>
    <row r="12" spans="1:34" ht="15.75">
      <c r="A12" s="3" t="s">
        <v>2</v>
      </c>
      <c r="B12" s="70">
        <f>250.1-200</f>
        <v>50.099999999999994</v>
      </c>
      <c r="C12" s="72">
        <v>280.15</v>
      </c>
      <c r="D12" s="67"/>
      <c r="E12" s="67"/>
      <c r="F12" s="67">
        <v>38.3</v>
      </c>
      <c r="G12" s="67"/>
      <c r="H12" s="67">
        <v>64.1</v>
      </c>
      <c r="I12" s="67"/>
      <c r="J12" s="72"/>
      <c r="K12" s="67">
        <v>5</v>
      </c>
      <c r="L12" s="72"/>
      <c r="M12" s="67"/>
      <c r="N12" s="67"/>
      <c r="O12" s="71"/>
      <c r="P12" s="67">
        <v>1.1</v>
      </c>
      <c r="Q12" s="67"/>
      <c r="R12" s="67"/>
      <c r="S12" s="72"/>
      <c r="T12" s="72"/>
      <c r="U12" s="72"/>
      <c r="V12" s="72"/>
      <c r="W12" s="72">
        <v>50.5</v>
      </c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159</v>
      </c>
      <c r="AG12" s="72">
        <f>B12+C12-AF12</f>
        <v>171.25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5" ht="15.75">
      <c r="A14" s="3" t="s">
        <v>23</v>
      </c>
      <c r="B14" s="72">
        <f>B10-B11-B12-B13</f>
        <v>546.1999999999992</v>
      </c>
      <c r="C14" s="72">
        <v>1778.7519999999945</v>
      </c>
      <c r="D14" s="67">
        <f aca="true" t="shared" si="2" ref="D14:AD14">D10-D11-D12-D13</f>
        <v>0</v>
      </c>
      <c r="E14" s="67">
        <f t="shared" si="2"/>
        <v>19.099999999999994</v>
      </c>
      <c r="F14" s="67">
        <f t="shared" si="2"/>
        <v>75.3</v>
      </c>
      <c r="G14" s="67">
        <f t="shared" si="2"/>
        <v>16.9</v>
      </c>
      <c r="H14" s="67">
        <f t="shared" si="2"/>
        <v>11.200000000000003</v>
      </c>
      <c r="I14" s="67">
        <f t="shared" si="2"/>
        <v>0</v>
      </c>
      <c r="J14" s="72">
        <f t="shared" si="2"/>
        <v>0</v>
      </c>
      <c r="K14" s="67">
        <f t="shared" si="2"/>
        <v>67.30000000000018</v>
      </c>
      <c r="L14" s="72">
        <f t="shared" si="2"/>
        <v>16.199999999999818</v>
      </c>
      <c r="M14" s="67">
        <f t="shared" si="2"/>
        <v>15.6</v>
      </c>
      <c r="N14" s="67">
        <f t="shared" si="2"/>
        <v>0</v>
      </c>
      <c r="O14" s="67">
        <f t="shared" si="2"/>
        <v>11.5</v>
      </c>
      <c r="P14" s="67">
        <f t="shared" si="2"/>
        <v>10.4</v>
      </c>
      <c r="Q14" s="67">
        <f t="shared" si="2"/>
        <v>23.9</v>
      </c>
      <c r="R14" s="67">
        <f t="shared" si="2"/>
        <v>148</v>
      </c>
      <c r="S14" s="67">
        <f t="shared" si="2"/>
        <v>20.7</v>
      </c>
      <c r="T14" s="67">
        <f t="shared" si="2"/>
        <v>21.9</v>
      </c>
      <c r="U14" s="67">
        <f t="shared" si="2"/>
        <v>8.5</v>
      </c>
      <c r="V14" s="67">
        <f t="shared" si="2"/>
        <v>19.4</v>
      </c>
      <c r="W14" s="67">
        <f t="shared" si="2"/>
        <v>158.70000000000005</v>
      </c>
      <c r="X14" s="67">
        <f t="shared" si="2"/>
        <v>93.40000000000009</v>
      </c>
      <c r="Y14" s="67">
        <f t="shared" si="2"/>
        <v>21.399999999999636</v>
      </c>
      <c r="Z14" s="67">
        <f t="shared" si="2"/>
        <v>0</v>
      </c>
      <c r="AA14" s="67">
        <f t="shared" si="2"/>
        <v>0</v>
      </c>
      <c r="AB14" s="67">
        <f t="shared" si="2"/>
        <v>0</v>
      </c>
      <c r="AC14" s="67">
        <f t="shared" si="2"/>
        <v>0</v>
      </c>
      <c r="AD14" s="67">
        <f t="shared" si="2"/>
        <v>0</v>
      </c>
      <c r="AE14" s="67"/>
      <c r="AF14" s="71">
        <f t="shared" si="1"/>
        <v>759.3999999999996</v>
      </c>
      <c r="AG14" s="72">
        <f>AG10-AG11-AG12-AG13</f>
        <v>1565.5519999999942</v>
      </c>
      <c r="AH14" s="18"/>
      <c r="AI14" s="86"/>
    </row>
    <row r="15" spans="1:35" ht="15" customHeight="1">
      <c r="A15" s="4" t="s">
        <v>6</v>
      </c>
      <c r="B15" s="72">
        <f>72419.8+809.8+0.2</f>
        <v>73229.8</v>
      </c>
      <c r="C15" s="72">
        <v>34931.339779999995</v>
      </c>
      <c r="D15" s="73"/>
      <c r="E15" s="73">
        <f>3155.9+4130.8</f>
        <v>7286.700000000001</v>
      </c>
      <c r="F15" s="67"/>
      <c r="G15" s="67">
        <v>914.7</v>
      </c>
      <c r="H15" s="67">
        <v>1007.9</v>
      </c>
      <c r="I15" s="67"/>
      <c r="J15" s="72"/>
      <c r="K15" s="67">
        <f>11799+9728.1</f>
        <v>21527.1</v>
      </c>
      <c r="L15" s="72">
        <v>268.3</v>
      </c>
      <c r="M15" s="67">
        <v>1685.8</v>
      </c>
      <c r="N15" s="67"/>
      <c r="O15" s="71">
        <v>29</v>
      </c>
      <c r="P15" s="67">
        <v>319.8</v>
      </c>
      <c r="Q15" s="71"/>
      <c r="R15" s="67">
        <v>1469.4</v>
      </c>
      <c r="S15" s="72">
        <v>12.5</v>
      </c>
      <c r="T15" s="72">
        <v>1110.4</v>
      </c>
      <c r="U15" s="72">
        <v>12.9</v>
      </c>
      <c r="V15" s="72">
        <v>855</v>
      </c>
      <c r="W15" s="72">
        <f>20706.7+12165.8</f>
        <v>32872.5</v>
      </c>
      <c r="X15" s="67">
        <v>0.9</v>
      </c>
      <c r="Y15" s="72">
        <v>983.1</v>
      </c>
      <c r="Z15" s="72"/>
      <c r="AA15" s="72"/>
      <c r="AB15" s="67"/>
      <c r="AC15" s="67"/>
      <c r="AD15" s="67"/>
      <c r="AE15" s="67"/>
      <c r="AF15" s="71">
        <f t="shared" si="1"/>
        <v>70356</v>
      </c>
      <c r="AG15" s="72">
        <f aca="true" t="shared" si="3" ref="AG15:AG31">B15+C15-AF15</f>
        <v>37805.13978</v>
      </c>
      <c r="AH15" s="112"/>
      <c r="AI15" s="86"/>
    </row>
    <row r="16" spans="1:34" s="53" customFormat="1" ht="15" customHeight="1">
      <c r="A16" s="51" t="s">
        <v>38</v>
      </c>
      <c r="B16" s="76">
        <v>22181.7</v>
      </c>
      <c r="C16" s="76">
        <v>4452.799999999996</v>
      </c>
      <c r="D16" s="74"/>
      <c r="E16" s="74">
        <v>4130.8</v>
      </c>
      <c r="F16" s="75"/>
      <c r="G16" s="75"/>
      <c r="H16" s="75"/>
      <c r="I16" s="75"/>
      <c r="J16" s="76"/>
      <c r="K16" s="75">
        <v>9728.1</v>
      </c>
      <c r="L16" s="76"/>
      <c r="M16" s="75"/>
      <c r="N16" s="75"/>
      <c r="O16" s="77"/>
      <c r="P16" s="75"/>
      <c r="Q16" s="77"/>
      <c r="R16" s="75"/>
      <c r="S16" s="76"/>
      <c r="T16" s="76"/>
      <c r="U16" s="76"/>
      <c r="V16" s="76"/>
      <c r="W16" s="76">
        <v>12165.8</v>
      </c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26024.7</v>
      </c>
      <c r="AG16" s="115">
        <f t="shared" si="3"/>
        <v>609.7999999999956</v>
      </c>
      <c r="AH16" s="116"/>
    </row>
    <row r="17" spans="1:34" ht="15.75">
      <c r="A17" s="3" t="s">
        <v>5</v>
      </c>
      <c r="B17" s="72">
        <v>59247.7</v>
      </c>
      <c r="C17" s="72">
        <v>16499.020000000004</v>
      </c>
      <c r="D17" s="67"/>
      <c r="E17" s="67">
        <v>7286.7</v>
      </c>
      <c r="F17" s="67"/>
      <c r="G17" s="67"/>
      <c r="H17" s="67"/>
      <c r="I17" s="67"/>
      <c r="J17" s="72"/>
      <c r="K17" s="67">
        <f>11367.5+9728.1</f>
        <v>21095.6</v>
      </c>
      <c r="L17" s="72"/>
      <c r="M17" s="67"/>
      <c r="N17" s="67"/>
      <c r="O17" s="71"/>
      <c r="P17" s="67"/>
      <c r="Q17" s="71"/>
      <c r="R17" s="67"/>
      <c r="S17" s="72"/>
      <c r="T17" s="72"/>
      <c r="U17" s="72"/>
      <c r="V17" s="72"/>
      <c r="W17" s="72">
        <f>18944.4+12165.8</f>
        <v>31110.2</v>
      </c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59492.5</v>
      </c>
      <c r="AG17" s="72">
        <f t="shared" si="3"/>
        <v>16254.220000000001</v>
      </c>
      <c r="AH17" s="21"/>
    </row>
    <row r="18" spans="1:34" ht="15.75">
      <c r="A18" s="3" t="s">
        <v>3</v>
      </c>
      <c r="B18" s="72">
        <v>46.1</v>
      </c>
      <c r="C18" s="72">
        <v>26.9</v>
      </c>
      <c r="D18" s="67"/>
      <c r="E18" s="67"/>
      <c r="F18" s="67"/>
      <c r="G18" s="67">
        <v>3.6</v>
      </c>
      <c r="H18" s="67"/>
      <c r="I18" s="67"/>
      <c r="J18" s="72"/>
      <c r="K18" s="67"/>
      <c r="L18" s="72">
        <v>2.1</v>
      </c>
      <c r="M18" s="67">
        <v>4</v>
      </c>
      <c r="N18" s="67"/>
      <c r="O18" s="71"/>
      <c r="P18" s="67"/>
      <c r="Q18" s="71"/>
      <c r="R18" s="67">
        <v>2.9</v>
      </c>
      <c r="S18" s="72"/>
      <c r="T18" s="72"/>
      <c r="U18" s="72"/>
      <c r="V18" s="72">
        <v>3</v>
      </c>
      <c r="W18" s="72">
        <v>2.4</v>
      </c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18</v>
      </c>
      <c r="AG18" s="72">
        <f t="shared" si="3"/>
        <v>55</v>
      </c>
      <c r="AH18" s="18"/>
    </row>
    <row r="19" spans="1:34" ht="15.75">
      <c r="A19" s="3" t="s">
        <v>1</v>
      </c>
      <c r="B19" s="72">
        <v>4133.6</v>
      </c>
      <c r="C19" s="72">
        <v>5125.299999999999</v>
      </c>
      <c r="D19" s="67"/>
      <c r="E19" s="67"/>
      <c r="F19" s="67"/>
      <c r="G19" s="67">
        <v>632.4</v>
      </c>
      <c r="H19" s="67">
        <v>532.2</v>
      </c>
      <c r="I19" s="67"/>
      <c r="J19" s="72"/>
      <c r="K19" s="67">
        <v>293.2</v>
      </c>
      <c r="L19" s="72">
        <v>75.2</v>
      </c>
      <c r="M19" s="67">
        <v>154.6</v>
      </c>
      <c r="N19" s="67"/>
      <c r="O19" s="71"/>
      <c r="P19" s="67"/>
      <c r="Q19" s="71"/>
      <c r="R19" s="67">
        <v>460.1</v>
      </c>
      <c r="S19" s="72"/>
      <c r="T19" s="72">
        <v>437.8</v>
      </c>
      <c r="U19" s="72"/>
      <c r="V19" s="72">
        <v>5.7</v>
      </c>
      <c r="W19" s="72">
        <v>1098.9</v>
      </c>
      <c r="X19" s="67"/>
      <c r="Y19" s="72">
        <v>957.8</v>
      </c>
      <c r="Z19" s="72"/>
      <c r="AA19" s="72"/>
      <c r="AB19" s="67"/>
      <c r="AC19" s="67"/>
      <c r="AD19" s="67"/>
      <c r="AE19" s="67"/>
      <c r="AF19" s="71">
        <f t="shared" si="1"/>
        <v>4647.9</v>
      </c>
      <c r="AG19" s="72">
        <f t="shared" si="3"/>
        <v>4611</v>
      </c>
      <c r="AH19" s="18"/>
    </row>
    <row r="20" spans="1:34" ht="15.75">
      <c r="A20" s="3" t="s">
        <v>2</v>
      </c>
      <c r="B20" s="72">
        <f>6032.2+809.8</f>
        <v>6842</v>
      </c>
      <c r="C20" s="72">
        <v>1801.6500000000005</v>
      </c>
      <c r="D20" s="67"/>
      <c r="E20" s="67"/>
      <c r="F20" s="67"/>
      <c r="G20" s="67">
        <v>93.8</v>
      </c>
      <c r="H20" s="67">
        <v>382.3</v>
      </c>
      <c r="I20" s="67"/>
      <c r="J20" s="72"/>
      <c r="K20" s="67">
        <v>126.3</v>
      </c>
      <c r="L20" s="72">
        <v>158.9</v>
      </c>
      <c r="M20" s="67">
        <v>1031.6</v>
      </c>
      <c r="N20" s="67"/>
      <c r="O20" s="71">
        <v>29</v>
      </c>
      <c r="P20" s="67">
        <v>18.5</v>
      </c>
      <c r="Q20" s="71"/>
      <c r="R20" s="67">
        <v>597.4</v>
      </c>
      <c r="S20" s="72"/>
      <c r="T20" s="72">
        <v>444.9</v>
      </c>
      <c r="U20" s="72">
        <v>8</v>
      </c>
      <c r="V20" s="72">
        <v>101.9</v>
      </c>
      <c r="W20" s="72">
        <v>21.3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3013.9</v>
      </c>
      <c r="AG20" s="72">
        <f t="shared" si="3"/>
        <v>5629.750000000002</v>
      </c>
      <c r="AH20" s="18"/>
    </row>
    <row r="21" spans="1:34" ht="15.75">
      <c r="A21" s="3" t="s">
        <v>16</v>
      </c>
      <c r="B21" s="72">
        <f>1118.5</f>
        <v>1118.5</v>
      </c>
      <c r="C21" s="72">
        <v>507.79999999999995</v>
      </c>
      <c r="D21" s="67"/>
      <c r="E21" s="67"/>
      <c r="F21" s="67"/>
      <c r="G21" s="67"/>
      <c r="H21" s="67">
        <v>10.3</v>
      </c>
      <c r="I21" s="67"/>
      <c r="J21" s="72"/>
      <c r="K21" s="67"/>
      <c r="L21" s="72"/>
      <c r="M21" s="67">
        <v>190.9</v>
      </c>
      <c r="N21" s="67"/>
      <c r="O21" s="71"/>
      <c r="P21" s="67"/>
      <c r="Q21" s="71"/>
      <c r="R21" s="67">
        <v>136.5</v>
      </c>
      <c r="S21" s="72"/>
      <c r="T21" s="72"/>
      <c r="U21" s="67"/>
      <c r="V21" s="67">
        <v>739.3</v>
      </c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1077</v>
      </c>
      <c r="AG21" s="72">
        <f t="shared" si="3"/>
        <v>549.3</v>
      </c>
      <c r="AH21" s="18"/>
    </row>
    <row r="22" spans="1:34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1841.900000000005</v>
      </c>
      <c r="C23" s="72">
        <f t="shared" si="4"/>
        <v>10970.66977999999</v>
      </c>
      <c r="D23" s="67">
        <f t="shared" si="4"/>
        <v>0</v>
      </c>
      <c r="E23" s="67">
        <f t="shared" si="4"/>
        <v>9.094947017729282E-13</v>
      </c>
      <c r="F23" s="67">
        <f t="shared" si="4"/>
        <v>0</v>
      </c>
      <c r="G23" s="67">
        <f t="shared" si="4"/>
        <v>184.90000000000003</v>
      </c>
      <c r="H23" s="67">
        <f t="shared" si="4"/>
        <v>83.09999999999992</v>
      </c>
      <c r="I23" s="67">
        <f t="shared" si="4"/>
        <v>0</v>
      </c>
      <c r="J23" s="72">
        <f t="shared" si="4"/>
        <v>0</v>
      </c>
      <c r="K23" s="67">
        <f t="shared" si="4"/>
        <v>12.000000000000014</v>
      </c>
      <c r="L23" s="72">
        <f t="shared" si="4"/>
        <v>32.099999999999994</v>
      </c>
      <c r="M23" s="67">
        <f t="shared" si="4"/>
        <v>304.70000000000016</v>
      </c>
      <c r="N23" s="67">
        <f t="shared" si="4"/>
        <v>0</v>
      </c>
      <c r="O23" s="67">
        <f t="shared" si="4"/>
        <v>0</v>
      </c>
      <c r="P23" s="67">
        <f t="shared" si="4"/>
        <v>301.3</v>
      </c>
      <c r="Q23" s="67">
        <f t="shared" si="4"/>
        <v>0</v>
      </c>
      <c r="R23" s="67">
        <f t="shared" si="4"/>
        <v>272.5</v>
      </c>
      <c r="S23" s="67">
        <f t="shared" si="4"/>
        <v>12.5</v>
      </c>
      <c r="T23" s="67">
        <f t="shared" si="4"/>
        <v>227.70000000000016</v>
      </c>
      <c r="U23" s="67">
        <f t="shared" si="4"/>
        <v>4.9</v>
      </c>
      <c r="V23" s="67">
        <f t="shared" si="4"/>
        <v>5.100000000000023</v>
      </c>
      <c r="W23" s="67">
        <f t="shared" si="4"/>
        <v>639.6999999999991</v>
      </c>
      <c r="X23" s="67">
        <f t="shared" si="4"/>
        <v>0.9</v>
      </c>
      <c r="Y23" s="67">
        <f t="shared" si="4"/>
        <v>25.300000000000068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2106.7000000000003</v>
      </c>
      <c r="AG23" s="72">
        <f>B23+C23-AF23</f>
        <v>10705.869779999994</v>
      </c>
      <c r="AH23" s="18"/>
    </row>
    <row r="24" spans="1:35" ht="15" customHeight="1">
      <c r="A24" s="4" t="s">
        <v>7</v>
      </c>
      <c r="B24" s="72">
        <f>32623.2-2662.4</f>
        <v>29960.8</v>
      </c>
      <c r="C24" s="72">
        <v>13806.820999999989</v>
      </c>
      <c r="D24" s="67"/>
      <c r="E24" s="67"/>
      <c r="F24" s="67"/>
      <c r="G24" s="67"/>
      <c r="H24" s="67">
        <f>1348.9+336.6</f>
        <v>1685.5</v>
      </c>
      <c r="I24" s="67"/>
      <c r="J24" s="72"/>
      <c r="K24" s="67">
        <f>225.4+7510.8</f>
        <v>7736.2</v>
      </c>
      <c r="L24" s="72">
        <f>138.8+1602.7</f>
        <v>1741.5</v>
      </c>
      <c r="M24" s="67"/>
      <c r="N24" s="67"/>
      <c r="O24" s="71">
        <f>1383.3+149.1</f>
        <v>1532.3999999999999</v>
      </c>
      <c r="P24" s="67">
        <f>73.5+2.1</f>
        <v>75.6</v>
      </c>
      <c r="Q24" s="71">
        <v>2.3</v>
      </c>
      <c r="R24" s="71">
        <f>1540.5+297.2</f>
        <v>1837.7</v>
      </c>
      <c r="S24" s="72">
        <f>569.2+74.9</f>
        <v>644.1</v>
      </c>
      <c r="T24" s="72">
        <f>38.4+2</f>
        <v>40.4</v>
      </c>
      <c r="U24" s="72">
        <v>6.5</v>
      </c>
      <c r="V24" s="72"/>
      <c r="W24" s="72">
        <f>9319+4734</f>
        <v>14053</v>
      </c>
      <c r="X24" s="67">
        <f>2584.5</f>
        <v>2584.5</v>
      </c>
      <c r="Y24" s="72">
        <v>1384.9</v>
      </c>
      <c r="Z24" s="72">
        <v>745.4</v>
      </c>
      <c r="AA24" s="72"/>
      <c r="AB24" s="67"/>
      <c r="AC24" s="67"/>
      <c r="AD24" s="67"/>
      <c r="AE24" s="67"/>
      <c r="AF24" s="71">
        <f t="shared" si="1"/>
        <v>34070</v>
      </c>
      <c r="AG24" s="72">
        <f t="shared" si="3"/>
        <v>9697.620999999985</v>
      </c>
      <c r="AH24" s="86"/>
      <c r="AI24" s="86"/>
    </row>
    <row r="25" spans="1:35" s="117" customFormat="1" ht="15" customHeight="1">
      <c r="A25" s="113" t="s">
        <v>39</v>
      </c>
      <c r="B25" s="76">
        <v>15694.8</v>
      </c>
      <c r="C25" s="76">
        <v>857.3000000000029</v>
      </c>
      <c r="D25" s="76"/>
      <c r="E25" s="76"/>
      <c r="F25" s="76"/>
      <c r="G25" s="76"/>
      <c r="H25" s="76">
        <v>336.6</v>
      </c>
      <c r="I25" s="76"/>
      <c r="J25" s="76"/>
      <c r="K25" s="76">
        <v>7510.8</v>
      </c>
      <c r="L25" s="76">
        <v>1602.7</v>
      </c>
      <c r="M25" s="76"/>
      <c r="N25" s="76"/>
      <c r="O25" s="76">
        <f>929.4+149.1</f>
        <v>1078.5</v>
      </c>
      <c r="P25" s="76">
        <v>2.1</v>
      </c>
      <c r="Q25" s="76">
        <v>2.3</v>
      </c>
      <c r="R25" s="76">
        <v>297.2</v>
      </c>
      <c r="S25" s="76">
        <v>74.9</v>
      </c>
      <c r="T25" s="76">
        <v>2</v>
      </c>
      <c r="U25" s="76">
        <v>6.5</v>
      </c>
      <c r="V25" s="76"/>
      <c r="W25" s="76">
        <v>4734</v>
      </c>
      <c r="X25" s="76">
        <v>196.3</v>
      </c>
      <c r="Y25" s="76"/>
      <c r="Z25" s="76"/>
      <c r="AA25" s="76"/>
      <c r="AB25" s="76"/>
      <c r="AC25" s="76"/>
      <c r="AD25" s="76"/>
      <c r="AE25" s="76"/>
      <c r="AF25" s="115">
        <f t="shared" si="1"/>
        <v>15843.9</v>
      </c>
      <c r="AG25" s="115">
        <f t="shared" si="3"/>
        <v>708.2000000000025</v>
      </c>
      <c r="AH25" s="116"/>
      <c r="AI25" s="142"/>
    </row>
    <row r="26" spans="1:34" ht="15.75" hidden="1">
      <c r="A26" s="3" t="s">
        <v>5</v>
      </c>
      <c r="B26" s="72"/>
      <c r="C26" s="72">
        <v>0</v>
      </c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>
        <v>0</v>
      </c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>
        <v>0</v>
      </c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>
        <v>0</v>
      </c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>
        <v>0</v>
      </c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29960.8</v>
      </c>
      <c r="C32" s="72">
        <v>13806.820999999989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0</v>
      </c>
      <c r="G32" s="67">
        <f t="shared" si="5"/>
        <v>0</v>
      </c>
      <c r="H32" s="67">
        <f t="shared" si="5"/>
        <v>1685.5</v>
      </c>
      <c r="I32" s="67">
        <f t="shared" si="5"/>
        <v>0</v>
      </c>
      <c r="J32" s="72">
        <f t="shared" si="5"/>
        <v>0</v>
      </c>
      <c r="K32" s="67">
        <f t="shared" si="5"/>
        <v>7736.2</v>
      </c>
      <c r="L32" s="72">
        <f t="shared" si="5"/>
        <v>1741.5</v>
      </c>
      <c r="M32" s="67">
        <f t="shared" si="5"/>
        <v>0</v>
      </c>
      <c r="N32" s="67">
        <f t="shared" si="5"/>
        <v>0</v>
      </c>
      <c r="O32" s="67">
        <f t="shared" si="5"/>
        <v>1532.3999999999999</v>
      </c>
      <c r="P32" s="67">
        <f t="shared" si="5"/>
        <v>75.6</v>
      </c>
      <c r="Q32" s="67">
        <f t="shared" si="5"/>
        <v>2.3</v>
      </c>
      <c r="R32" s="67">
        <f t="shared" si="5"/>
        <v>1837.7</v>
      </c>
      <c r="S32" s="67">
        <f t="shared" si="5"/>
        <v>644.1</v>
      </c>
      <c r="T32" s="67">
        <f t="shared" si="5"/>
        <v>40.4</v>
      </c>
      <c r="U32" s="67">
        <f t="shared" si="5"/>
        <v>6.5</v>
      </c>
      <c r="V32" s="67">
        <f t="shared" si="5"/>
        <v>0</v>
      </c>
      <c r="W32" s="67">
        <f t="shared" si="5"/>
        <v>14053</v>
      </c>
      <c r="X32" s="67">
        <f t="shared" si="5"/>
        <v>2584.5</v>
      </c>
      <c r="Y32" s="67">
        <f t="shared" si="5"/>
        <v>1384.9</v>
      </c>
      <c r="Z32" s="67">
        <f t="shared" si="5"/>
        <v>745.4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34070</v>
      </c>
      <c r="AG32" s="72">
        <f>AG24</f>
        <v>9697.620999999985</v>
      </c>
    </row>
    <row r="33" spans="1:33" ht="15" customHeight="1">
      <c r="A33" s="4" t="s">
        <v>8</v>
      </c>
      <c r="B33" s="72">
        <f>284.5+38.1</f>
        <v>322.6</v>
      </c>
      <c r="C33" s="72">
        <v>1444.0499999999997</v>
      </c>
      <c r="D33" s="67"/>
      <c r="E33" s="67"/>
      <c r="F33" s="67"/>
      <c r="G33" s="67"/>
      <c r="H33" s="67"/>
      <c r="I33" s="67"/>
      <c r="J33" s="72"/>
      <c r="K33" s="67">
        <v>75.5</v>
      </c>
      <c r="L33" s="72"/>
      <c r="M33" s="67"/>
      <c r="N33" s="67"/>
      <c r="O33" s="71"/>
      <c r="P33" s="67"/>
      <c r="Q33" s="71"/>
      <c r="R33" s="67">
        <v>0.4</v>
      </c>
      <c r="S33" s="72"/>
      <c r="T33" s="72">
        <v>16.3</v>
      </c>
      <c r="U33" s="72"/>
      <c r="V33" s="72"/>
      <c r="W33" s="72">
        <v>173.3</v>
      </c>
      <c r="X33" s="72">
        <v>0.3</v>
      </c>
      <c r="Y33" s="72"/>
      <c r="Z33" s="72"/>
      <c r="AA33" s="72"/>
      <c r="AB33" s="67"/>
      <c r="AC33" s="67"/>
      <c r="AD33" s="67"/>
      <c r="AE33" s="67"/>
      <c r="AF33" s="71">
        <f t="shared" si="1"/>
        <v>265.8</v>
      </c>
      <c r="AG33" s="72">
        <f aca="true" t="shared" si="6" ref="AG33:AG38">B33+C33-AF33</f>
        <v>1500.8499999999997</v>
      </c>
    </row>
    <row r="34" spans="1:33" ht="15.75">
      <c r="A34" s="3" t="s">
        <v>5</v>
      </c>
      <c r="B34" s="72">
        <v>254.7</v>
      </c>
      <c r="C34" s="72">
        <v>126.91999999999996</v>
      </c>
      <c r="D34" s="67"/>
      <c r="E34" s="67"/>
      <c r="F34" s="67"/>
      <c r="G34" s="67"/>
      <c r="H34" s="67"/>
      <c r="I34" s="67"/>
      <c r="J34" s="72"/>
      <c r="K34" s="67">
        <v>73.8</v>
      </c>
      <c r="L34" s="72"/>
      <c r="M34" s="67"/>
      <c r="N34" s="67"/>
      <c r="O34" s="67"/>
      <c r="P34" s="67"/>
      <c r="Q34" s="71"/>
      <c r="R34" s="67"/>
      <c r="S34" s="72"/>
      <c r="T34" s="72"/>
      <c r="U34" s="72"/>
      <c r="V34" s="72"/>
      <c r="W34" s="72">
        <v>172.5</v>
      </c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246.3</v>
      </c>
      <c r="AG34" s="72">
        <f t="shared" si="6"/>
        <v>135.31999999999994</v>
      </c>
    </row>
    <row r="35" spans="1:33" ht="15.75">
      <c r="A35" s="3" t="s">
        <v>1</v>
      </c>
      <c r="B35" s="72">
        <v>0</v>
      </c>
      <c r="C35" s="72">
        <v>1.98599999999999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1.98599999999999</v>
      </c>
    </row>
    <row r="36" spans="1:33" ht="15.75">
      <c r="A36" s="3" t="s">
        <v>2</v>
      </c>
      <c r="B36" s="111">
        <f>4.5+38.3</f>
        <v>42.8</v>
      </c>
      <c r="C36" s="72">
        <v>20.499999999999996</v>
      </c>
      <c r="D36" s="67"/>
      <c r="E36" s="67"/>
      <c r="F36" s="67"/>
      <c r="G36" s="67"/>
      <c r="H36" s="67"/>
      <c r="I36" s="67"/>
      <c r="J36" s="72"/>
      <c r="K36" s="67">
        <v>0.6</v>
      </c>
      <c r="L36" s="72"/>
      <c r="M36" s="67"/>
      <c r="N36" s="72"/>
      <c r="O36" s="71"/>
      <c r="P36" s="67"/>
      <c r="Q36" s="71"/>
      <c r="R36" s="67"/>
      <c r="S36" s="72"/>
      <c r="T36" s="72">
        <v>16.3</v>
      </c>
      <c r="U36" s="67"/>
      <c r="V36" s="67"/>
      <c r="W36" s="67"/>
      <c r="X36" s="72">
        <v>0.1</v>
      </c>
      <c r="Y36" s="72"/>
      <c r="Z36" s="72"/>
      <c r="AA36" s="72"/>
      <c r="AB36" s="67"/>
      <c r="AC36" s="67"/>
      <c r="AD36" s="67"/>
      <c r="AE36" s="67"/>
      <c r="AF36" s="71">
        <f t="shared" si="1"/>
        <v>17.000000000000004</v>
      </c>
      <c r="AG36" s="72">
        <f t="shared" si="6"/>
        <v>46.3</v>
      </c>
    </row>
    <row r="37" spans="1:33" ht="15.75">
      <c r="A37" s="3" t="s">
        <v>16</v>
      </c>
      <c r="B37" s="72">
        <v>0</v>
      </c>
      <c r="C37" s="72">
        <v>1283.1640000000002</v>
      </c>
      <c r="D37" s="67"/>
      <c r="E37" s="67"/>
      <c r="F37" s="67"/>
      <c r="G37" s="67"/>
      <c r="H37" s="67"/>
      <c r="I37" s="67"/>
      <c r="J37" s="72"/>
      <c r="K37" s="67"/>
      <c r="L37" s="72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1283.1640000000002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25.100000000000037</v>
      </c>
      <c r="C39" s="72">
        <v>11.479999999999563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72">
        <f t="shared" si="7"/>
        <v>0</v>
      </c>
      <c r="K39" s="67">
        <f t="shared" si="7"/>
        <v>1.1000000000000028</v>
      </c>
      <c r="L39" s="72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0.4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0.8000000000000114</v>
      </c>
      <c r="X39" s="67">
        <f t="shared" si="7"/>
        <v>0.19999999999999998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2.500000000000014</v>
      </c>
      <c r="AG39" s="72">
        <f>AG33-AG34-AG36-AG38-AG35-AG37</f>
        <v>34.07999999999947</v>
      </c>
    </row>
    <row r="40" spans="1:33" ht="15" customHeight="1">
      <c r="A40" s="4" t="s">
        <v>29</v>
      </c>
      <c r="B40" s="72">
        <v>1070.3</v>
      </c>
      <c r="C40" s="72">
        <v>292.99199999999973</v>
      </c>
      <c r="D40" s="67"/>
      <c r="E40" s="67"/>
      <c r="F40" s="67"/>
      <c r="G40" s="67"/>
      <c r="H40" s="67"/>
      <c r="I40" s="67"/>
      <c r="J40" s="72"/>
      <c r="K40" s="67">
        <v>337.6</v>
      </c>
      <c r="L40" s="72"/>
      <c r="M40" s="67"/>
      <c r="N40" s="67"/>
      <c r="O40" s="71"/>
      <c r="P40" s="67"/>
      <c r="Q40" s="71"/>
      <c r="R40" s="71"/>
      <c r="S40" s="72"/>
      <c r="T40" s="72">
        <v>11.6</v>
      </c>
      <c r="U40" s="72"/>
      <c r="V40" s="72"/>
      <c r="W40" s="72">
        <v>789.6</v>
      </c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1138.8000000000002</v>
      </c>
      <c r="AG40" s="72">
        <f aca="true" t="shared" si="8" ref="AG40:AG45">B40+C40-AF40</f>
        <v>224.4919999999995</v>
      </c>
    </row>
    <row r="41" spans="1:34" ht="15.75">
      <c r="A41" s="3" t="s">
        <v>5</v>
      </c>
      <c r="B41" s="72">
        <v>1017.7</v>
      </c>
      <c r="C41" s="72">
        <v>208.284</v>
      </c>
      <c r="D41" s="67"/>
      <c r="E41" s="67"/>
      <c r="F41" s="67"/>
      <c r="G41" s="67"/>
      <c r="H41" s="67"/>
      <c r="I41" s="67"/>
      <c r="J41" s="72"/>
      <c r="K41" s="67">
        <v>315</v>
      </c>
      <c r="L41" s="72"/>
      <c r="M41" s="67"/>
      <c r="N41" s="67"/>
      <c r="O41" s="71"/>
      <c r="P41" s="67"/>
      <c r="Q41" s="67"/>
      <c r="R41" s="67"/>
      <c r="S41" s="72"/>
      <c r="T41" s="72"/>
      <c r="U41" s="72"/>
      <c r="V41" s="72"/>
      <c r="W41" s="72">
        <v>778.2</v>
      </c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1093.2</v>
      </c>
      <c r="AG41" s="72">
        <f t="shared" si="8"/>
        <v>132.78399999999988</v>
      </c>
      <c r="AH41" s="6"/>
    </row>
    <row r="42" spans="1:33" ht="15.75">
      <c r="A42" s="3" t="s">
        <v>3</v>
      </c>
      <c r="B42" s="72">
        <v>0</v>
      </c>
      <c r="C42" s="72">
        <v>0.10000000000000009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0.10000000000000009</v>
      </c>
    </row>
    <row r="43" spans="1:33" ht="15.75">
      <c r="A43" s="3" t="s">
        <v>1</v>
      </c>
      <c r="B43" s="72">
        <v>9.6</v>
      </c>
      <c r="C43" s="72">
        <v>17.1</v>
      </c>
      <c r="D43" s="67"/>
      <c r="E43" s="67"/>
      <c r="F43" s="67"/>
      <c r="G43" s="67"/>
      <c r="H43" s="67"/>
      <c r="I43" s="67"/>
      <c r="J43" s="72"/>
      <c r="K43" s="67">
        <v>8.9</v>
      </c>
      <c r="L43" s="72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8.9</v>
      </c>
      <c r="AG43" s="72">
        <f t="shared" si="8"/>
        <v>17.800000000000004</v>
      </c>
    </row>
    <row r="44" spans="1:33" ht="15.75">
      <c r="A44" s="3" t="s">
        <v>2</v>
      </c>
      <c r="B44" s="72">
        <v>12.8</v>
      </c>
      <c r="C44" s="72">
        <v>52.49399999999999</v>
      </c>
      <c r="D44" s="67"/>
      <c r="E44" s="67"/>
      <c r="F44" s="67"/>
      <c r="G44" s="67"/>
      <c r="H44" s="67"/>
      <c r="I44" s="67"/>
      <c r="J44" s="72"/>
      <c r="K44" s="67">
        <v>1.4</v>
      </c>
      <c r="L44" s="72"/>
      <c r="M44" s="67"/>
      <c r="N44" s="67"/>
      <c r="O44" s="71"/>
      <c r="P44" s="67"/>
      <c r="Q44" s="67"/>
      <c r="R44" s="67"/>
      <c r="S44" s="72"/>
      <c r="T44" s="72"/>
      <c r="U44" s="72"/>
      <c r="V44" s="72"/>
      <c r="W44" s="72">
        <v>9.1</v>
      </c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10.5</v>
      </c>
      <c r="AG44" s="72">
        <f t="shared" si="8"/>
        <v>54.794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30.199999999999907</v>
      </c>
      <c r="C46" s="72">
        <v>15.013999999999761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72">
        <f t="shared" si="9"/>
        <v>0</v>
      </c>
      <c r="K46" s="67">
        <f t="shared" si="9"/>
        <v>12.300000000000022</v>
      </c>
      <c r="L46" s="72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11.6</v>
      </c>
      <c r="U46" s="67">
        <f t="shared" si="9"/>
        <v>0</v>
      </c>
      <c r="V46" s="67">
        <f t="shared" si="9"/>
        <v>0</v>
      </c>
      <c r="W46" s="67">
        <f t="shared" si="9"/>
        <v>2.2999999999999776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26.199999999999996</v>
      </c>
      <c r="AG46" s="72">
        <f>AG40-AG41-AG42-AG43-AG44-AG45</f>
        <v>19.013999999999626</v>
      </c>
    </row>
    <row r="47" spans="1:33" ht="17.25" customHeight="1">
      <c r="A47" s="4" t="s">
        <v>43</v>
      </c>
      <c r="B47" s="70">
        <f>711.6-100</f>
        <v>611.6</v>
      </c>
      <c r="C47" s="72">
        <v>1426.4942299999962</v>
      </c>
      <c r="D47" s="67"/>
      <c r="E47" s="79">
        <v>22.2</v>
      </c>
      <c r="F47" s="79">
        <v>9.8</v>
      </c>
      <c r="G47" s="79">
        <v>135.5</v>
      </c>
      <c r="H47" s="79">
        <v>22.2</v>
      </c>
      <c r="I47" s="79"/>
      <c r="J47" s="80"/>
      <c r="K47" s="79">
        <v>97</v>
      </c>
      <c r="L47" s="80">
        <v>4.2</v>
      </c>
      <c r="M47" s="79"/>
      <c r="N47" s="79"/>
      <c r="O47" s="81">
        <v>44.5</v>
      </c>
      <c r="P47" s="79">
        <v>16.4</v>
      </c>
      <c r="Q47" s="79">
        <v>65.8</v>
      </c>
      <c r="R47" s="79">
        <v>1.8</v>
      </c>
      <c r="S47" s="80"/>
      <c r="T47" s="80"/>
      <c r="U47" s="79"/>
      <c r="V47" s="79">
        <v>80.5</v>
      </c>
      <c r="W47" s="79">
        <v>27.9</v>
      </c>
      <c r="X47" s="79">
        <v>21.7</v>
      </c>
      <c r="Y47" s="80"/>
      <c r="Z47" s="80"/>
      <c r="AA47" s="80"/>
      <c r="AB47" s="79"/>
      <c r="AC47" s="79"/>
      <c r="AD47" s="79"/>
      <c r="AE47" s="79"/>
      <c r="AF47" s="71">
        <f t="shared" si="1"/>
        <v>549.5</v>
      </c>
      <c r="AG47" s="72">
        <f>B47+C47-AF47</f>
        <v>1488.594229999996</v>
      </c>
    </row>
    <row r="48" spans="1:33" ht="15.75">
      <c r="A48" s="3" t="s">
        <v>5</v>
      </c>
      <c r="B48" s="72">
        <v>36.4</v>
      </c>
      <c r="C48" s="72">
        <v>59.04999999999999</v>
      </c>
      <c r="D48" s="67"/>
      <c r="E48" s="79"/>
      <c r="F48" s="79"/>
      <c r="G48" s="79"/>
      <c r="H48" s="79"/>
      <c r="I48" s="79"/>
      <c r="J48" s="80"/>
      <c r="K48" s="79">
        <v>35.3</v>
      </c>
      <c r="L48" s="80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>
        <v>10.4</v>
      </c>
      <c r="Y48" s="80"/>
      <c r="Z48" s="80"/>
      <c r="AA48" s="80"/>
      <c r="AB48" s="79"/>
      <c r="AC48" s="79"/>
      <c r="AD48" s="79"/>
      <c r="AE48" s="79"/>
      <c r="AF48" s="71">
        <f t="shared" si="1"/>
        <v>45.699999999999996</v>
      </c>
      <c r="AG48" s="72">
        <f>B48+C48-AF48</f>
        <v>49.74999999999999</v>
      </c>
    </row>
    <row r="49" spans="1:33" ht="15.75">
      <c r="A49" s="3" t="s">
        <v>16</v>
      </c>
      <c r="B49" s="72">
        <f>519.7-100</f>
        <v>419.70000000000005</v>
      </c>
      <c r="C49" s="72">
        <v>878.0739000000002</v>
      </c>
      <c r="D49" s="67"/>
      <c r="E49" s="67"/>
      <c r="F49" s="67"/>
      <c r="G49" s="67">
        <v>135.4</v>
      </c>
      <c r="H49" s="67">
        <v>22.2</v>
      </c>
      <c r="I49" s="67"/>
      <c r="J49" s="72"/>
      <c r="K49" s="67">
        <v>61.7</v>
      </c>
      <c r="L49" s="72"/>
      <c r="M49" s="67"/>
      <c r="N49" s="67"/>
      <c r="O49" s="71">
        <v>29.1</v>
      </c>
      <c r="P49" s="67">
        <v>16.4</v>
      </c>
      <c r="Q49" s="67">
        <v>65.8</v>
      </c>
      <c r="R49" s="67">
        <v>1.8</v>
      </c>
      <c r="S49" s="72"/>
      <c r="T49" s="72"/>
      <c r="U49" s="67"/>
      <c r="V49" s="67">
        <v>0.3</v>
      </c>
      <c r="W49" s="67">
        <v>27.9</v>
      </c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360.6</v>
      </c>
      <c r="AG49" s="72">
        <f>B49+C49-AF49</f>
        <v>937.1739000000001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155.5</v>
      </c>
      <c r="C51" s="72">
        <v>489.37032999999593</v>
      </c>
      <c r="D51" s="67">
        <f aca="true" t="shared" si="10" ref="D51:AD51">D47-D48-D49</f>
        <v>0</v>
      </c>
      <c r="E51" s="67">
        <f t="shared" si="10"/>
        <v>22.2</v>
      </c>
      <c r="F51" s="67">
        <f t="shared" si="10"/>
        <v>9.8</v>
      </c>
      <c r="G51" s="67">
        <f t="shared" si="10"/>
        <v>0.09999999999999432</v>
      </c>
      <c r="H51" s="67">
        <f t="shared" si="10"/>
        <v>0</v>
      </c>
      <c r="I51" s="67">
        <f t="shared" si="10"/>
        <v>0</v>
      </c>
      <c r="J51" s="72">
        <f t="shared" si="10"/>
        <v>0</v>
      </c>
      <c r="K51" s="67">
        <f t="shared" si="10"/>
        <v>0</v>
      </c>
      <c r="L51" s="72">
        <f t="shared" si="10"/>
        <v>4.2</v>
      </c>
      <c r="M51" s="67">
        <f t="shared" si="10"/>
        <v>0</v>
      </c>
      <c r="N51" s="67">
        <f t="shared" si="10"/>
        <v>0</v>
      </c>
      <c r="O51" s="67">
        <f t="shared" si="10"/>
        <v>15.399999999999999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80.2</v>
      </c>
      <c r="W51" s="67">
        <f t="shared" si="10"/>
        <v>0</v>
      </c>
      <c r="X51" s="67">
        <f t="shared" si="10"/>
        <v>11.299999999999999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143.20000000000002</v>
      </c>
      <c r="AG51" s="72">
        <f>AG47-AG49-AG48</f>
        <v>501.67032999999594</v>
      </c>
    </row>
    <row r="52" spans="1:33" ht="15" customHeight="1">
      <c r="A52" s="4" t="s">
        <v>0</v>
      </c>
      <c r="B52" s="72">
        <f>5311.7-332.8-568.7-2113-22.1</f>
        <v>2275.1</v>
      </c>
      <c r="C52" s="72">
        <v>3106.9622600000016</v>
      </c>
      <c r="D52" s="67"/>
      <c r="E52" s="67"/>
      <c r="F52" s="67"/>
      <c r="G52" s="67">
        <v>719.7</v>
      </c>
      <c r="H52" s="67">
        <v>249.3</v>
      </c>
      <c r="I52" s="67"/>
      <c r="J52" s="72"/>
      <c r="K52" s="67">
        <v>22</v>
      </c>
      <c r="L52" s="72">
        <v>796</v>
      </c>
      <c r="M52" s="67">
        <v>6.6</v>
      </c>
      <c r="N52" s="67"/>
      <c r="O52" s="71">
        <v>58.6</v>
      </c>
      <c r="P52" s="67"/>
      <c r="Q52" s="67">
        <v>18.6</v>
      </c>
      <c r="R52" s="67"/>
      <c r="S52" s="72">
        <v>983.4</v>
      </c>
      <c r="T52" s="72">
        <v>30.1</v>
      </c>
      <c r="U52" s="72">
        <v>589.1</v>
      </c>
      <c r="V52" s="72"/>
      <c r="W52" s="72">
        <f>706.3</f>
        <v>706.3</v>
      </c>
      <c r="X52" s="67">
        <v>316.8</v>
      </c>
      <c r="Y52" s="72">
        <v>106.5</v>
      </c>
      <c r="Z52" s="72"/>
      <c r="AA52" s="72"/>
      <c r="AB52" s="67"/>
      <c r="AC52" s="67"/>
      <c r="AD52" s="67"/>
      <c r="AE52" s="67"/>
      <c r="AF52" s="71">
        <f t="shared" si="1"/>
        <v>4603</v>
      </c>
      <c r="AG52" s="72">
        <f aca="true" t="shared" si="11" ref="AG52:AG59">B52+C52-AF52</f>
        <v>779.0622600000015</v>
      </c>
    </row>
    <row r="53" spans="1:33" ht="15" customHeight="1">
      <c r="A53" s="3" t="s">
        <v>2</v>
      </c>
      <c r="B53" s="72">
        <f>1059-1000</f>
        <v>59</v>
      </c>
      <c r="C53" s="72">
        <f>1028.574-230</f>
        <v>798.5740000000001</v>
      </c>
      <c r="D53" s="67"/>
      <c r="E53" s="67"/>
      <c r="F53" s="67"/>
      <c r="G53" s="67">
        <v>719.7</v>
      </c>
      <c r="H53" s="67"/>
      <c r="I53" s="67"/>
      <c r="J53" s="72"/>
      <c r="K53" s="67">
        <v>5.7</v>
      </c>
      <c r="L53" s="72"/>
      <c r="M53" s="67">
        <v>3.5</v>
      </c>
      <c r="N53" s="67"/>
      <c r="O53" s="71"/>
      <c r="P53" s="67"/>
      <c r="Q53" s="67"/>
      <c r="R53" s="67"/>
      <c r="S53" s="72"/>
      <c r="T53" s="72"/>
      <c r="U53" s="72">
        <v>34.6</v>
      </c>
      <c r="V53" s="72"/>
      <c r="W53" s="72">
        <v>90.6</v>
      </c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854.1000000000001</v>
      </c>
      <c r="AG53" s="72">
        <f t="shared" si="11"/>
        <v>3.4739999999999327</v>
      </c>
    </row>
    <row r="54" spans="1:34" ht="15" customHeight="1">
      <c r="A54" s="4" t="s">
        <v>9</v>
      </c>
      <c r="B54" s="111">
        <f>2103.8+27.7+2</f>
        <v>2133.5</v>
      </c>
      <c r="C54" s="72">
        <v>1641.034</v>
      </c>
      <c r="D54" s="67"/>
      <c r="E54" s="67">
        <v>510.4</v>
      </c>
      <c r="F54" s="67"/>
      <c r="G54" s="67"/>
      <c r="H54" s="67">
        <v>450.2</v>
      </c>
      <c r="I54" s="67"/>
      <c r="J54" s="72"/>
      <c r="K54" s="67"/>
      <c r="L54" s="72"/>
      <c r="M54" s="67">
        <v>96</v>
      </c>
      <c r="N54" s="67"/>
      <c r="O54" s="71">
        <v>254.5</v>
      </c>
      <c r="P54" s="67"/>
      <c r="Q54" s="71">
        <v>313.5</v>
      </c>
      <c r="R54" s="67"/>
      <c r="S54" s="72"/>
      <c r="T54" s="72">
        <v>33.3</v>
      </c>
      <c r="U54" s="72"/>
      <c r="V54" s="72">
        <v>77.8</v>
      </c>
      <c r="W54" s="72"/>
      <c r="X54" s="67">
        <v>21.2</v>
      </c>
      <c r="Y54" s="72">
        <v>929.4</v>
      </c>
      <c r="Z54" s="72">
        <v>44</v>
      </c>
      <c r="AA54" s="72"/>
      <c r="AB54" s="67"/>
      <c r="AC54" s="67"/>
      <c r="AD54" s="67"/>
      <c r="AE54" s="67"/>
      <c r="AF54" s="71">
        <f t="shared" si="1"/>
        <v>2730.2999999999997</v>
      </c>
      <c r="AG54" s="72">
        <f t="shared" si="11"/>
        <v>1044.2340000000004</v>
      </c>
      <c r="AH54" s="6"/>
    </row>
    <row r="55" spans="1:34" ht="15.75">
      <c r="A55" s="3" t="s">
        <v>5</v>
      </c>
      <c r="B55" s="72">
        <v>1045</v>
      </c>
      <c r="C55" s="72">
        <v>907.8739999999999</v>
      </c>
      <c r="D55" s="67"/>
      <c r="E55" s="67">
        <v>372.7</v>
      </c>
      <c r="F55" s="67"/>
      <c r="G55" s="67"/>
      <c r="H55" s="67"/>
      <c r="I55" s="67"/>
      <c r="J55" s="72"/>
      <c r="K55" s="67"/>
      <c r="L55" s="72"/>
      <c r="M55" s="67">
        <v>96</v>
      </c>
      <c r="N55" s="67"/>
      <c r="O55" s="71">
        <v>254.3</v>
      </c>
      <c r="P55" s="67"/>
      <c r="Q55" s="71">
        <v>89.8</v>
      </c>
      <c r="R55" s="67"/>
      <c r="S55" s="72"/>
      <c r="T55" s="72"/>
      <c r="U55" s="72"/>
      <c r="V55" s="72"/>
      <c r="W55" s="72"/>
      <c r="X55" s="67">
        <v>21.2</v>
      </c>
      <c r="Y55" s="72">
        <v>809.4</v>
      </c>
      <c r="Z55" s="72"/>
      <c r="AA55" s="72"/>
      <c r="AB55" s="67"/>
      <c r="AC55" s="67"/>
      <c r="AD55" s="67"/>
      <c r="AE55" s="67"/>
      <c r="AF55" s="71">
        <f t="shared" si="1"/>
        <v>1643.4</v>
      </c>
      <c r="AG55" s="72">
        <f t="shared" si="11"/>
        <v>309.4739999999997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70">
        <f>82.7+27.7</f>
        <v>110.4</v>
      </c>
      <c r="C57" s="72">
        <v>52.67300000000012</v>
      </c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>
        <v>6.3</v>
      </c>
      <c r="U57" s="72"/>
      <c r="V57" s="72">
        <v>1.5</v>
      </c>
      <c r="W57" s="72"/>
      <c r="X57" s="72"/>
      <c r="Y57" s="72">
        <v>8</v>
      </c>
      <c r="Z57" s="72"/>
      <c r="AA57" s="72"/>
      <c r="AB57" s="72"/>
      <c r="AC57" s="72"/>
      <c r="AD57" s="72"/>
      <c r="AE57" s="72"/>
      <c r="AF57" s="72">
        <f t="shared" si="1"/>
        <v>15.8</v>
      </c>
      <c r="AG57" s="72">
        <f t="shared" si="11"/>
        <v>147.2730000000001</v>
      </c>
    </row>
    <row r="58" spans="1:33" ht="15.75">
      <c r="A58" s="3" t="s">
        <v>16</v>
      </c>
      <c r="B58" s="70">
        <v>5.1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>
        <v>5.1</v>
      </c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973</v>
      </c>
      <c r="C60" s="72">
        <v>680.4870000000001</v>
      </c>
      <c r="D60" s="67">
        <f t="shared" si="12"/>
        <v>0</v>
      </c>
      <c r="E60" s="67">
        <f>E54-E55-E57-E59-E56-E58</f>
        <v>137.7</v>
      </c>
      <c r="F60" s="67">
        <f t="shared" si="12"/>
        <v>0</v>
      </c>
      <c r="G60" s="67">
        <f t="shared" si="12"/>
        <v>0</v>
      </c>
      <c r="H60" s="67">
        <f t="shared" si="12"/>
        <v>450.2</v>
      </c>
      <c r="I60" s="67">
        <f t="shared" si="12"/>
        <v>0</v>
      </c>
      <c r="J60" s="72">
        <f t="shared" si="12"/>
        <v>0</v>
      </c>
      <c r="K60" s="67">
        <f t="shared" si="12"/>
        <v>0</v>
      </c>
      <c r="L60" s="72">
        <f t="shared" si="12"/>
        <v>0</v>
      </c>
      <c r="M60" s="67">
        <f t="shared" si="12"/>
        <v>0</v>
      </c>
      <c r="N60" s="67">
        <f t="shared" si="12"/>
        <v>0</v>
      </c>
      <c r="O60" s="67">
        <f t="shared" si="12"/>
        <v>0.19999999999998863</v>
      </c>
      <c r="P60" s="67">
        <f t="shared" si="12"/>
        <v>0</v>
      </c>
      <c r="Q60" s="67">
        <f t="shared" si="12"/>
        <v>223.7</v>
      </c>
      <c r="R60" s="67">
        <f t="shared" si="12"/>
        <v>0</v>
      </c>
      <c r="S60" s="67">
        <f t="shared" si="12"/>
        <v>0</v>
      </c>
      <c r="T60" s="67">
        <f t="shared" si="12"/>
        <v>26.999999999999996</v>
      </c>
      <c r="U60" s="67">
        <f t="shared" si="12"/>
        <v>0</v>
      </c>
      <c r="V60" s="67">
        <f t="shared" si="12"/>
        <v>76.3</v>
      </c>
      <c r="W60" s="67">
        <f t="shared" si="12"/>
        <v>0</v>
      </c>
      <c r="X60" s="67">
        <f t="shared" si="12"/>
        <v>0</v>
      </c>
      <c r="Y60" s="67">
        <f t="shared" si="12"/>
        <v>106.9</v>
      </c>
      <c r="Z60" s="67">
        <f t="shared" si="12"/>
        <v>44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1065.9999999999998</v>
      </c>
      <c r="AG60" s="72">
        <f>AG54-AG55-AG57-AG59-AG56-AG58</f>
        <v>587.4870000000005</v>
      </c>
    </row>
    <row r="61" spans="1:33" ht="15" customHeight="1">
      <c r="A61" s="4" t="s">
        <v>10</v>
      </c>
      <c r="B61" s="72">
        <f>54.4-20+17.9</f>
        <v>52.3</v>
      </c>
      <c r="C61" s="72">
        <v>646.1</v>
      </c>
      <c r="D61" s="67"/>
      <c r="E61" s="67">
        <v>3.9</v>
      </c>
      <c r="F61" s="67">
        <v>1.2</v>
      </c>
      <c r="G61" s="67"/>
      <c r="H61" s="67">
        <v>1.7</v>
      </c>
      <c r="I61" s="67"/>
      <c r="J61" s="72"/>
      <c r="K61" s="67">
        <v>0.1</v>
      </c>
      <c r="L61" s="72"/>
      <c r="M61" s="67"/>
      <c r="N61" s="67"/>
      <c r="O61" s="71"/>
      <c r="P61" s="67"/>
      <c r="Q61" s="71"/>
      <c r="R61" s="67"/>
      <c r="S61" s="72"/>
      <c r="T61" s="72"/>
      <c r="U61" s="72"/>
      <c r="V61" s="72"/>
      <c r="W61" s="72"/>
      <c r="X61" s="67">
        <v>3</v>
      </c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9.899999999999999</v>
      </c>
      <c r="AG61" s="72">
        <f aca="true" t="shared" si="14" ref="AG61:AG67">B61+C61-AF61</f>
        <v>688.5</v>
      </c>
    </row>
    <row r="62" spans="1:33" s="18" customFormat="1" ht="15" customHeight="1">
      <c r="A62" s="108" t="s">
        <v>11</v>
      </c>
      <c r="B62" s="72">
        <f>3016.4+124.4</f>
        <v>3140.8</v>
      </c>
      <c r="C62" s="72">
        <v>4440.799999999999</v>
      </c>
      <c r="D62" s="72"/>
      <c r="E62" s="72"/>
      <c r="F62" s="72"/>
      <c r="G62" s="72"/>
      <c r="H62" s="72">
        <v>82.3</v>
      </c>
      <c r="I62" s="72"/>
      <c r="J62" s="72"/>
      <c r="K62" s="72">
        <v>1010.5</v>
      </c>
      <c r="L62" s="72"/>
      <c r="M62" s="72">
        <v>54.2</v>
      </c>
      <c r="N62" s="72"/>
      <c r="O62" s="72"/>
      <c r="P62" s="72"/>
      <c r="Q62" s="72">
        <v>157.6</v>
      </c>
      <c r="R62" s="72">
        <v>329.1</v>
      </c>
      <c r="S62" s="72"/>
      <c r="T62" s="72">
        <v>33.3</v>
      </c>
      <c r="U62" s="72"/>
      <c r="V62" s="72">
        <v>64.6</v>
      </c>
      <c r="W62" s="72">
        <v>227.9</v>
      </c>
      <c r="X62" s="72">
        <v>946.1</v>
      </c>
      <c r="Y62" s="72">
        <v>6</v>
      </c>
      <c r="Z62" s="72"/>
      <c r="AA62" s="72"/>
      <c r="AB62" s="72"/>
      <c r="AC62" s="72"/>
      <c r="AD62" s="72"/>
      <c r="AE62" s="72"/>
      <c r="AF62" s="72">
        <f t="shared" si="13"/>
        <v>2911.6</v>
      </c>
      <c r="AG62" s="72">
        <f t="shared" si="14"/>
        <v>4670</v>
      </c>
    </row>
    <row r="63" spans="1:34" ht="15.75">
      <c r="A63" s="3" t="s">
        <v>5</v>
      </c>
      <c r="B63" s="72">
        <v>1626.6</v>
      </c>
      <c r="C63" s="72">
        <v>1099.1490000000008</v>
      </c>
      <c r="D63" s="67"/>
      <c r="E63" s="67"/>
      <c r="F63" s="67"/>
      <c r="G63" s="67"/>
      <c r="H63" s="67"/>
      <c r="I63" s="67"/>
      <c r="J63" s="72"/>
      <c r="K63" s="67">
        <v>694.7</v>
      </c>
      <c r="L63" s="72"/>
      <c r="M63" s="67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>
        <v>845.6</v>
      </c>
      <c r="Y63" s="72"/>
      <c r="Z63" s="72"/>
      <c r="AA63" s="72"/>
      <c r="AB63" s="67"/>
      <c r="AC63" s="67"/>
      <c r="AD63" s="67"/>
      <c r="AE63" s="67"/>
      <c r="AF63" s="71">
        <f t="shared" si="13"/>
        <v>1540.3000000000002</v>
      </c>
      <c r="AG63" s="72">
        <f t="shared" si="14"/>
        <v>1185.4490000000005</v>
      </c>
      <c r="AH63" s="121"/>
    </row>
    <row r="64" spans="1:34" ht="15.75">
      <c r="A64" s="3" t="s">
        <v>3</v>
      </c>
      <c r="B64" s="72">
        <v>5.2</v>
      </c>
      <c r="C64" s="72">
        <v>4.5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9.7</v>
      </c>
      <c r="AH64" s="6"/>
    </row>
    <row r="65" spans="1:34" ht="15.75">
      <c r="A65" s="3" t="s">
        <v>1</v>
      </c>
      <c r="B65" s="72">
        <v>114.9</v>
      </c>
      <c r="C65" s="72">
        <v>154.35000000000002</v>
      </c>
      <c r="D65" s="67"/>
      <c r="E65" s="67"/>
      <c r="F65" s="67"/>
      <c r="G65" s="67"/>
      <c r="H65" s="67">
        <v>35.5</v>
      </c>
      <c r="I65" s="67"/>
      <c r="J65" s="72"/>
      <c r="K65" s="67"/>
      <c r="L65" s="72"/>
      <c r="M65" s="67">
        <v>24.1</v>
      </c>
      <c r="N65" s="67"/>
      <c r="O65" s="71"/>
      <c r="P65" s="67"/>
      <c r="Q65" s="71">
        <v>15</v>
      </c>
      <c r="R65" s="67"/>
      <c r="S65" s="72"/>
      <c r="T65" s="72">
        <v>22.2</v>
      </c>
      <c r="U65" s="72"/>
      <c r="V65" s="72">
        <v>8.7</v>
      </c>
      <c r="W65" s="72">
        <v>11.7</v>
      </c>
      <c r="X65" s="67">
        <v>6.3</v>
      </c>
      <c r="Y65" s="72">
        <v>2.8</v>
      </c>
      <c r="Z65" s="72"/>
      <c r="AA65" s="72"/>
      <c r="AB65" s="67"/>
      <c r="AC65" s="67"/>
      <c r="AD65" s="67"/>
      <c r="AE65" s="67"/>
      <c r="AF65" s="71">
        <f t="shared" si="13"/>
        <v>126.3</v>
      </c>
      <c r="AG65" s="72">
        <f t="shared" si="14"/>
        <v>142.95</v>
      </c>
      <c r="AH65" s="6"/>
    </row>
    <row r="66" spans="1:33" ht="15.75">
      <c r="A66" s="3" t="s">
        <v>2</v>
      </c>
      <c r="B66" s="72">
        <f>117.9+106.2</f>
        <v>224.10000000000002</v>
      </c>
      <c r="C66" s="72">
        <v>159.43</v>
      </c>
      <c r="D66" s="67"/>
      <c r="E66" s="67"/>
      <c r="F66" s="67"/>
      <c r="G66" s="67"/>
      <c r="H66" s="67">
        <v>0.5</v>
      </c>
      <c r="I66" s="67"/>
      <c r="J66" s="72"/>
      <c r="K66" s="67">
        <v>1.3</v>
      </c>
      <c r="L66" s="72"/>
      <c r="M66" s="67">
        <v>11.9</v>
      </c>
      <c r="N66" s="67"/>
      <c r="O66" s="71"/>
      <c r="P66" s="67"/>
      <c r="Q66" s="67">
        <v>2.6</v>
      </c>
      <c r="R66" s="67">
        <v>1</v>
      </c>
      <c r="S66" s="72"/>
      <c r="T66" s="72">
        <v>1.6</v>
      </c>
      <c r="U66" s="72"/>
      <c r="V66" s="72">
        <v>10.3</v>
      </c>
      <c r="W66" s="72">
        <v>1.3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30.500000000000004</v>
      </c>
      <c r="AG66" s="72">
        <f t="shared" si="14"/>
        <v>353.03000000000003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/>
      <c r="P67" s="67"/>
      <c r="Q67" s="67">
        <v>106</v>
      </c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106</v>
      </c>
      <c r="AG67" s="72">
        <f t="shared" si="14"/>
        <v>4</v>
      </c>
    </row>
    <row r="68" spans="1:33" ht="15.75">
      <c r="A68" s="3" t="s">
        <v>23</v>
      </c>
      <c r="B68" s="72">
        <f>B62-B63-B66-B67-B65-B64</f>
        <v>1060.0000000000002</v>
      </c>
      <c r="C68" s="72">
        <v>3023.3709999999987</v>
      </c>
      <c r="D68" s="67">
        <f aca="true" t="shared" si="15" ref="D68:AD68">D62-D63-D66-D67-D65-D64</f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46.3</v>
      </c>
      <c r="I68" s="67">
        <f t="shared" si="15"/>
        <v>0</v>
      </c>
      <c r="J68" s="72">
        <f t="shared" si="15"/>
        <v>0</v>
      </c>
      <c r="K68" s="67">
        <f t="shared" si="15"/>
        <v>314.49999999999994</v>
      </c>
      <c r="L68" s="72">
        <f t="shared" si="15"/>
        <v>0</v>
      </c>
      <c r="M68" s="67">
        <f t="shared" si="15"/>
        <v>18.200000000000003</v>
      </c>
      <c r="N68" s="67">
        <f t="shared" si="15"/>
        <v>0</v>
      </c>
      <c r="O68" s="67">
        <f t="shared" si="15"/>
        <v>0</v>
      </c>
      <c r="P68" s="67">
        <f t="shared" si="15"/>
        <v>0</v>
      </c>
      <c r="Q68" s="67">
        <f t="shared" si="15"/>
        <v>34</v>
      </c>
      <c r="R68" s="67">
        <f t="shared" si="15"/>
        <v>328.1</v>
      </c>
      <c r="S68" s="67">
        <f t="shared" si="15"/>
        <v>0</v>
      </c>
      <c r="T68" s="67">
        <f t="shared" si="15"/>
        <v>9.499999999999996</v>
      </c>
      <c r="U68" s="67">
        <f t="shared" si="15"/>
        <v>0</v>
      </c>
      <c r="V68" s="67">
        <f t="shared" si="15"/>
        <v>45.599999999999994</v>
      </c>
      <c r="W68" s="67">
        <f t="shared" si="15"/>
        <v>214.9</v>
      </c>
      <c r="X68" s="67">
        <f t="shared" si="15"/>
        <v>94.2</v>
      </c>
      <c r="Y68" s="67">
        <f t="shared" si="15"/>
        <v>3.2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1108.5</v>
      </c>
      <c r="AG68" s="72">
        <f>AG62-AG63-AG66-AG67-AG65-AG64</f>
        <v>2974.8709999999996</v>
      </c>
    </row>
    <row r="69" spans="1:33" ht="31.5">
      <c r="A69" s="4" t="s">
        <v>45</v>
      </c>
      <c r="B69" s="72">
        <f>0.2+3053.2+1425.5+1000</f>
        <v>5478.9</v>
      </c>
      <c r="C69" s="72">
        <v>57.638999999999214</v>
      </c>
      <c r="D69" s="67"/>
      <c r="E69" s="67"/>
      <c r="F69" s="67"/>
      <c r="G69" s="67"/>
      <c r="H69" s="67"/>
      <c r="I69" s="67"/>
      <c r="J69" s="72"/>
      <c r="K69" s="67">
        <v>1941.5</v>
      </c>
      <c r="L69" s="72"/>
      <c r="M69" s="67"/>
      <c r="N69" s="67"/>
      <c r="O69" s="67"/>
      <c r="P69" s="67"/>
      <c r="Q69" s="67"/>
      <c r="R69" s="67"/>
      <c r="S69" s="72"/>
      <c r="T69" s="72">
        <v>3537.3</v>
      </c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5478.8</v>
      </c>
      <c r="AG69" s="130">
        <f aca="true" t="shared" si="16" ref="AG69:AG92">B69+C69-AF69</f>
        <v>57.73899999999867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f>2700-1020+22.1</f>
        <v>1702.1</v>
      </c>
      <c r="C71" s="80">
        <v>1001.4499999999999</v>
      </c>
      <c r="D71" s="79"/>
      <c r="E71" s="79"/>
      <c r="F71" s="79"/>
      <c r="G71" s="79"/>
      <c r="H71" s="79">
        <v>1599.5</v>
      </c>
      <c r="I71" s="79"/>
      <c r="J71" s="80"/>
      <c r="K71" s="79"/>
      <c r="L71" s="80"/>
      <c r="M71" s="79"/>
      <c r="N71" s="79"/>
      <c r="O71" s="79"/>
      <c r="P71" s="79"/>
      <c r="Q71" s="81"/>
      <c r="R71" s="79"/>
      <c r="S71" s="80"/>
      <c r="T71" s="80"/>
      <c r="U71" s="80">
        <v>613.3</v>
      </c>
      <c r="V71" s="80"/>
      <c r="W71" s="80">
        <v>67.8</v>
      </c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2280.6000000000004</v>
      </c>
      <c r="AG71" s="130">
        <f t="shared" si="16"/>
        <v>422.94999999999936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v>1123.4</v>
      </c>
      <c r="C72" s="72">
        <v>3709.3999999999996</v>
      </c>
      <c r="D72" s="67"/>
      <c r="E72" s="67">
        <v>36.1</v>
      </c>
      <c r="F72" s="67">
        <v>113.5</v>
      </c>
      <c r="G72" s="67"/>
      <c r="H72" s="67">
        <v>81.9</v>
      </c>
      <c r="I72" s="67"/>
      <c r="J72" s="72"/>
      <c r="K72" s="67">
        <f>6.3+0.8+5</f>
        <v>12.1</v>
      </c>
      <c r="L72" s="72"/>
      <c r="M72" s="67">
        <v>19.4</v>
      </c>
      <c r="N72" s="67"/>
      <c r="O72" s="67">
        <v>7</v>
      </c>
      <c r="P72" s="67">
        <v>3.8</v>
      </c>
      <c r="Q72" s="71">
        <f>24.8-21.9</f>
        <v>2.900000000000002</v>
      </c>
      <c r="R72" s="67">
        <v>17.1</v>
      </c>
      <c r="S72" s="72">
        <v>1.2</v>
      </c>
      <c r="T72" s="72">
        <v>3</v>
      </c>
      <c r="U72" s="72">
        <v>100.8</v>
      </c>
      <c r="V72" s="72">
        <v>222.8</v>
      </c>
      <c r="W72" s="72">
        <f>75.8+5.6</f>
        <v>81.39999999999999</v>
      </c>
      <c r="X72" s="67">
        <v>42.5</v>
      </c>
      <c r="Y72" s="72">
        <v>22.7</v>
      </c>
      <c r="Z72" s="72"/>
      <c r="AA72" s="72"/>
      <c r="AB72" s="67"/>
      <c r="AC72" s="67"/>
      <c r="AD72" s="67"/>
      <c r="AE72" s="67"/>
      <c r="AF72" s="71">
        <f t="shared" si="13"/>
        <v>768.2</v>
      </c>
      <c r="AG72" s="130">
        <f t="shared" si="16"/>
        <v>4064.5999999999995</v>
      </c>
      <c r="AH72" s="86">
        <f>AG72+AG69+AG76+AG91+AG83+AG88</f>
        <v>5363.279249999998</v>
      </c>
    </row>
    <row r="73" spans="1:33" ht="15" customHeight="1">
      <c r="A73" s="3" t="s">
        <v>5</v>
      </c>
      <c r="B73" s="72">
        <v>45.4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>
        <v>45.4</v>
      </c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</v>
      </c>
    </row>
    <row r="74" spans="1:33" ht="15" customHeight="1">
      <c r="A74" s="3" t="s">
        <v>2</v>
      </c>
      <c r="B74" s="72">
        <v>265.4</v>
      </c>
      <c r="C74" s="72">
        <v>530.1</v>
      </c>
      <c r="D74" s="67"/>
      <c r="E74" s="67">
        <v>36.1</v>
      </c>
      <c r="F74" s="67">
        <v>24</v>
      </c>
      <c r="G74" s="67"/>
      <c r="H74" s="67"/>
      <c r="I74" s="67"/>
      <c r="J74" s="72"/>
      <c r="K74" s="67">
        <v>0.5</v>
      </c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60.6</v>
      </c>
      <c r="AG74" s="130">
        <f t="shared" si="16"/>
        <v>734.9</v>
      </c>
    </row>
    <row r="75" spans="1:33" ht="15" customHeight="1">
      <c r="A75" s="3" t="s">
        <v>16</v>
      </c>
      <c r="B75" s="72">
        <v>79.2</v>
      </c>
      <c r="C75" s="72">
        <v>389.7</v>
      </c>
      <c r="D75" s="67"/>
      <c r="E75" s="67"/>
      <c r="F75" s="67"/>
      <c r="G75" s="67"/>
      <c r="H75" s="67"/>
      <c r="I75" s="67"/>
      <c r="J75" s="72"/>
      <c r="K75" s="67"/>
      <c r="L75" s="72"/>
      <c r="M75" s="67">
        <v>7.1</v>
      </c>
      <c r="N75" s="67"/>
      <c r="O75" s="67"/>
      <c r="P75" s="67"/>
      <c r="Q75" s="71"/>
      <c r="R75" s="67"/>
      <c r="S75" s="72"/>
      <c r="T75" s="72"/>
      <c r="U75" s="72">
        <v>46</v>
      </c>
      <c r="V75" s="72"/>
      <c r="W75" s="72">
        <v>7.3</v>
      </c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60.4</v>
      </c>
      <c r="AG75" s="130">
        <f t="shared" si="16"/>
        <v>408.5</v>
      </c>
    </row>
    <row r="76" spans="1:35" s="11" customFormat="1" ht="15.75">
      <c r="A76" s="12" t="s">
        <v>48</v>
      </c>
      <c r="B76" s="72">
        <f>131-88.3</f>
        <v>42.7</v>
      </c>
      <c r="C76" s="72">
        <v>117.04024999999984</v>
      </c>
      <c r="D76" s="67"/>
      <c r="E76" s="79"/>
      <c r="F76" s="79"/>
      <c r="G76" s="79"/>
      <c r="H76" s="79"/>
      <c r="I76" s="79"/>
      <c r="J76" s="80"/>
      <c r="K76" s="79">
        <v>47.6</v>
      </c>
      <c r="L76" s="80"/>
      <c r="M76" s="79"/>
      <c r="N76" s="79"/>
      <c r="O76" s="79">
        <v>4.6</v>
      </c>
      <c r="P76" s="79"/>
      <c r="Q76" s="81">
        <v>21.9</v>
      </c>
      <c r="R76" s="79">
        <v>0.8</v>
      </c>
      <c r="S76" s="80"/>
      <c r="T76" s="80"/>
      <c r="U76" s="79"/>
      <c r="V76" s="79"/>
      <c r="W76" s="79">
        <v>60.6</v>
      </c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135.5</v>
      </c>
      <c r="AG76" s="130">
        <f t="shared" si="16"/>
        <v>24.240249999999833</v>
      </c>
      <c r="AI76" s="128"/>
    </row>
    <row r="77" spans="1:33" s="11" customFormat="1" ht="15.75">
      <c r="A77" s="3" t="s">
        <v>5</v>
      </c>
      <c r="B77" s="72">
        <v>109.8</v>
      </c>
      <c r="C77" s="72">
        <v>2.6999999999999886</v>
      </c>
      <c r="D77" s="67"/>
      <c r="E77" s="79"/>
      <c r="F77" s="79"/>
      <c r="G77" s="79"/>
      <c r="H77" s="79"/>
      <c r="I77" s="79"/>
      <c r="J77" s="80"/>
      <c r="K77" s="79">
        <v>47.6</v>
      </c>
      <c r="L77" s="80"/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>
        <v>60.4</v>
      </c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108</v>
      </c>
      <c r="AG77" s="130">
        <f t="shared" si="16"/>
        <v>4.499999999999986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2.6</v>
      </c>
      <c r="C80" s="72">
        <v>12.8</v>
      </c>
      <c r="D80" s="67"/>
      <c r="E80" s="79"/>
      <c r="F80" s="79"/>
      <c r="G80" s="79"/>
      <c r="H80" s="79"/>
      <c r="I80" s="79"/>
      <c r="J80" s="80"/>
      <c r="K80" s="79"/>
      <c r="L80" s="80"/>
      <c r="M80" s="79"/>
      <c r="N80" s="79"/>
      <c r="O80" s="79">
        <v>3.9</v>
      </c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3.9</v>
      </c>
      <c r="AG80" s="130">
        <f t="shared" si="16"/>
        <v>11.5</v>
      </c>
    </row>
    <row r="81" spans="1:33" s="11" customFormat="1" ht="15.7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2734.2+215.3+2857</f>
        <v>5806.5</v>
      </c>
      <c r="C89" s="72">
        <v>5868.4</v>
      </c>
      <c r="D89" s="67"/>
      <c r="E89" s="67"/>
      <c r="F89" s="67"/>
      <c r="G89" s="67">
        <v>2254</v>
      </c>
      <c r="H89" s="67"/>
      <c r="I89" s="67"/>
      <c r="J89" s="72"/>
      <c r="K89" s="67"/>
      <c r="L89" s="72">
        <v>1751.3</v>
      </c>
      <c r="M89" s="67">
        <v>90.1</v>
      </c>
      <c r="N89" s="67"/>
      <c r="O89" s="67"/>
      <c r="P89" s="67"/>
      <c r="Q89" s="67"/>
      <c r="R89" s="67"/>
      <c r="S89" s="72">
        <v>449.8</v>
      </c>
      <c r="T89" s="72">
        <v>362.8</v>
      </c>
      <c r="U89" s="67">
        <v>66.1</v>
      </c>
      <c r="V89" s="67"/>
      <c r="W89" s="67">
        <v>2626.6</v>
      </c>
      <c r="X89" s="72">
        <v>3227.5</v>
      </c>
      <c r="Y89" s="72"/>
      <c r="Z89" s="72"/>
      <c r="AA89" s="72"/>
      <c r="AB89" s="67"/>
      <c r="AC89" s="67"/>
      <c r="AD89" s="67"/>
      <c r="AE89" s="67"/>
      <c r="AF89" s="71">
        <f t="shared" si="13"/>
        <v>10828.2</v>
      </c>
      <c r="AG89" s="72">
        <f t="shared" si="16"/>
        <v>846.6999999999989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72"/>
      <c r="K90" s="67">
        <v>1173.1</v>
      </c>
      <c r="L90" s="72"/>
      <c r="M90" s="67"/>
      <c r="N90" s="67"/>
      <c r="O90" s="67"/>
      <c r="P90" s="67"/>
      <c r="Q90" s="67"/>
      <c r="R90" s="67">
        <v>1173.1</v>
      </c>
      <c r="S90" s="72"/>
      <c r="T90" s="72"/>
      <c r="U90" s="67"/>
      <c r="V90" s="67"/>
      <c r="W90" s="67"/>
      <c r="X90" s="72"/>
      <c r="Y90" s="72"/>
      <c r="Z90" s="72">
        <v>1173.1</v>
      </c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566.7</v>
      </c>
      <c r="C91" s="72">
        <v>560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1126.7</v>
      </c>
      <c r="AH91" s="11"/>
    </row>
    <row r="92" spans="1:34" ht="15.75">
      <c r="A92" s="4" t="s">
        <v>37</v>
      </c>
      <c r="B92" s="72">
        <f>29243.8-1612.3-1000-1425.5-646.6-194.6+6232.7+2434</f>
        <v>33031.5</v>
      </c>
      <c r="C92" s="72">
        <v>80066.7</v>
      </c>
      <c r="D92" s="67"/>
      <c r="E92" s="67"/>
      <c r="F92" s="67">
        <v>39.7</v>
      </c>
      <c r="G92" s="67">
        <v>981</v>
      </c>
      <c r="H92" s="67">
        <v>537</v>
      </c>
      <c r="I92" s="67"/>
      <c r="J92" s="72"/>
      <c r="K92" s="67">
        <v>4749.9</v>
      </c>
      <c r="L92" s="72">
        <v>21185.8</v>
      </c>
      <c r="M92" s="67">
        <v>2430.9</v>
      </c>
      <c r="N92" s="67"/>
      <c r="O92" s="67"/>
      <c r="P92" s="67">
        <v>5602</v>
      </c>
      <c r="Q92" s="67">
        <v>253.8</v>
      </c>
      <c r="R92" s="67">
        <f>2943.4+778.2</f>
        <v>3721.6000000000004</v>
      </c>
      <c r="S92" s="72">
        <v>4071.9</v>
      </c>
      <c r="T92" s="72">
        <v>1419.6</v>
      </c>
      <c r="U92" s="67">
        <v>1550</v>
      </c>
      <c r="V92" s="67">
        <v>441.7</v>
      </c>
      <c r="W92" s="67">
        <v>9172.7</v>
      </c>
      <c r="X92" s="72">
        <f>1220.7+368.7</f>
        <v>1589.4</v>
      </c>
      <c r="Y92" s="72">
        <f>2207.6+366.9</f>
        <v>2574.5</v>
      </c>
      <c r="Z92" s="72">
        <v>9784.3</v>
      </c>
      <c r="AA92" s="72"/>
      <c r="AB92" s="67"/>
      <c r="AC92" s="67"/>
      <c r="AD92" s="67"/>
      <c r="AE92" s="67"/>
      <c r="AF92" s="71">
        <f t="shared" si="13"/>
        <v>70105.8</v>
      </c>
      <c r="AG92" s="72">
        <f t="shared" si="16"/>
        <v>42992.399999999994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AD94">B10+B15+B24+B33+B47+B52+B54+B61+B62+B69+B71+B72+B76+B81+B82+B83+B88+B89+B90+B91+B40+B92+B70</f>
        <v>178320.20000000004</v>
      </c>
      <c r="C94" s="132">
        <f t="shared" si="17"/>
        <v>159276.81951999996</v>
      </c>
      <c r="D94" s="83">
        <f t="shared" si="17"/>
        <v>317.2</v>
      </c>
      <c r="E94" s="83">
        <f t="shared" si="17"/>
        <v>7981.900000000001</v>
      </c>
      <c r="F94" s="83">
        <f t="shared" si="17"/>
        <v>277.8</v>
      </c>
      <c r="G94" s="83">
        <f t="shared" si="17"/>
        <v>5021.8</v>
      </c>
      <c r="H94" s="83">
        <f t="shared" si="17"/>
        <v>5792.799999999999</v>
      </c>
      <c r="I94" s="83">
        <f t="shared" si="17"/>
        <v>0</v>
      </c>
      <c r="J94" s="132">
        <f t="shared" si="17"/>
        <v>0</v>
      </c>
      <c r="K94" s="83">
        <f t="shared" si="17"/>
        <v>41946.19999999999</v>
      </c>
      <c r="L94" s="132">
        <f t="shared" si="17"/>
        <v>27848.6</v>
      </c>
      <c r="M94" s="83">
        <f t="shared" si="17"/>
        <v>4398.6</v>
      </c>
      <c r="N94" s="83">
        <f t="shared" si="17"/>
        <v>0</v>
      </c>
      <c r="O94" s="83">
        <f t="shared" si="17"/>
        <v>1952.7999999999997</v>
      </c>
      <c r="P94" s="83">
        <f t="shared" si="17"/>
        <v>6029.1</v>
      </c>
      <c r="Q94" s="83">
        <f t="shared" si="17"/>
        <v>860.3</v>
      </c>
      <c r="R94" s="83">
        <f t="shared" si="17"/>
        <v>8699</v>
      </c>
      <c r="S94" s="83">
        <f t="shared" si="17"/>
        <v>6183.6</v>
      </c>
      <c r="T94" s="83">
        <f t="shared" si="17"/>
        <v>6632.5</v>
      </c>
      <c r="U94" s="83">
        <f t="shared" si="17"/>
        <v>2947.2</v>
      </c>
      <c r="V94" s="83">
        <f t="shared" si="17"/>
        <v>1761.8</v>
      </c>
      <c r="W94" s="83">
        <f t="shared" si="17"/>
        <v>62934.600000000006</v>
      </c>
      <c r="X94" s="83">
        <f t="shared" si="17"/>
        <v>11683</v>
      </c>
      <c r="Y94" s="83">
        <f t="shared" si="17"/>
        <v>10750.099999999999</v>
      </c>
      <c r="Z94" s="83">
        <f t="shared" si="17"/>
        <v>11746.8</v>
      </c>
      <c r="AA94" s="83">
        <f t="shared" si="17"/>
        <v>0</v>
      </c>
      <c r="AB94" s="83">
        <f t="shared" si="17"/>
        <v>0</v>
      </c>
      <c r="AC94" s="83">
        <f t="shared" si="17"/>
        <v>0</v>
      </c>
      <c r="AD94" s="83">
        <f t="shared" si="17"/>
        <v>0</v>
      </c>
      <c r="AE94" s="83"/>
      <c r="AF94" s="83">
        <f>AF10+AF15+AF24+AF33+AF47+AF52+AF54+AF61+AF62+AF69+AF71+AF72+AF76+AF81+AF82+AF83+AF88+AF89+AF90+AF91+AF70+AF40+AF92</f>
        <v>225765.7</v>
      </c>
      <c r="AG94" s="84">
        <f>AG10+AG15+AG24+AG33+AG47+AG52+AG54+AG61+AG62+AG69+AG71+AG72+AG76+AG81+AG82+AG83+AG88+AG89+AG90+AG91+AG70+AG40+AG92</f>
        <v>111831.31951999996</v>
      </c>
    </row>
    <row r="95" spans="1:33" ht="15.75">
      <c r="A95" s="3" t="s">
        <v>5</v>
      </c>
      <c r="B95" s="22">
        <f>B11+B17+B26+B34+B55+B63+B73+B41+B77+B48</f>
        <v>77039.29999999999</v>
      </c>
      <c r="C95" s="109">
        <f aca="true" t="shared" si="18" ref="C95:AD95">C11+C17+C26+C34+C55+C63+C73+C41+C77+C48</f>
        <v>22913.692000000006</v>
      </c>
      <c r="D95" s="67">
        <f t="shared" si="18"/>
        <v>317.2</v>
      </c>
      <c r="E95" s="67">
        <f t="shared" si="18"/>
        <v>7762.9</v>
      </c>
      <c r="F95" s="67">
        <f t="shared" si="18"/>
        <v>0</v>
      </c>
      <c r="G95" s="67">
        <f t="shared" si="18"/>
        <v>0</v>
      </c>
      <c r="H95" s="67">
        <f t="shared" si="18"/>
        <v>0</v>
      </c>
      <c r="I95" s="67">
        <f t="shared" si="18"/>
        <v>0</v>
      </c>
      <c r="J95" s="72">
        <f t="shared" si="18"/>
        <v>0</v>
      </c>
      <c r="K95" s="67">
        <f t="shared" si="18"/>
        <v>25405.699999999997</v>
      </c>
      <c r="L95" s="72">
        <f t="shared" si="18"/>
        <v>2085.3</v>
      </c>
      <c r="M95" s="67">
        <f t="shared" si="18"/>
        <v>96</v>
      </c>
      <c r="N95" s="67">
        <f t="shared" si="18"/>
        <v>0</v>
      </c>
      <c r="O95" s="67">
        <f t="shared" si="18"/>
        <v>265</v>
      </c>
      <c r="P95" s="67">
        <f t="shared" si="18"/>
        <v>0</v>
      </c>
      <c r="Q95" s="67">
        <f t="shared" si="18"/>
        <v>89.8</v>
      </c>
      <c r="R95" s="67">
        <f t="shared" si="18"/>
        <v>0</v>
      </c>
      <c r="S95" s="67">
        <f t="shared" si="18"/>
        <v>0</v>
      </c>
      <c r="T95" s="67">
        <f t="shared" si="18"/>
        <v>12.5</v>
      </c>
      <c r="U95" s="67">
        <f t="shared" si="18"/>
        <v>0</v>
      </c>
      <c r="V95" s="67">
        <f t="shared" si="18"/>
        <v>0</v>
      </c>
      <c r="W95" s="67">
        <f t="shared" si="18"/>
        <v>34032.5</v>
      </c>
      <c r="X95" s="67">
        <f t="shared" si="18"/>
        <v>3712.8999999999996</v>
      </c>
      <c r="Y95" s="67">
        <f t="shared" si="18"/>
        <v>5531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79310.79999999999</v>
      </c>
      <c r="AG95" s="71">
        <f>B95+C95-AF95</f>
        <v>20642.19200000001</v>
      </c>
    </row>
    <row r="96" spans="1:33" ht="15.75">
      <c r="A96" s="3" t="s">
        <v>2</v>
      </c>
      <c r="B96" s="22">
        <f aca="true" t="shared" si="19" ref="B96:AD96">B12+B20+B29+B36+B57+B66+B44+B80+B74+B53</f>
        <v>7609.200000000001</v>
      </c>
      <c r="C96" s="109">
        <f t="shared" si="19"/>
        <v>3708.371000000001</v>
      </c>
      <c r="D96" s="67">
        <f t="shared" si="19"/>
        <v>0</v>
      </c>
      <c r="E96" s="67">
        <f t="shared" si="19"/>
        <v>36.1</v>
      </c>
      <c r="F96" s="67">
        <f t="shared" si="19"/>
        <v>62.3</v>
      </c>
      <c r="G96" s="67">
        <f t="shared" si="19"/>
        <v>813.5</v>
      </c>
      <c r="H96" s="67">
        <f t="shared" si="19"/>
        <v>446.9</v>
      </c>
      <c r="I96" s="67">
        <f t="shared" si="19"/>
        <v>0</v>
      </c>
      <c r="J96" s="72">
        <f t="shared" si="19"/>
        <v>0</v>
      </c>
      <c r="K96" s="67">
        <f t="shared" si="19"/>
        <v>140.8</v>
      </c>
      <c r="L96" s="72">
        <f t="shared" si="19"/>
        <v>158.9</v>
      </c>
      <c r="M96" s="67">
        <f t="shared" si="19"/>
        <v>1047</v>
      </c>
      <c r="N96" s="67">
        <f t="shared" si="19"/>
        <v>0</v>
      </c>
      <c r="O96" s="67">
        <f t="shared" si="19"/>
        <v>32.9</v>
      </c>
      <c r="P96" s="67">
        <f t="shared" si="19"/>
        <v>19.6</v>
      </c>
      <c r="Q96" s="67">
        <f t="shared" si="19"/>
        <v>2.6</v>
      </c>
      <c r="R96" s="67">
        <f t="shared" si="19"/>
        <v>598.4</v>
      </c>
      <c r="S96" s="67">
        <f t="shared" si="19"/>
        <v>0</v>
      </c>
      <c r="T96" s="67">
        <f t="shared" si="19"/>
        <v>469.1</v>
      </c>
      <c r="U96" s="67">
        <f t="shared" si="19"/>
        <v>42.6</v>
      </c>
      <c r="V96" s="67">
        <f t="shared" si="19"/>
        <v>113.7</v>
      </c>
      <c r="W96" s="67">
        <f t="shared" si="19"/>
        <v>172.79999999999998</v>
      </c>
      <c r="X96" s="67">
        <f t="shared" si="19"/>
        <v>0.1</v>
      </c>
      <c r="Y96" s="67">
        <f t="shared" si="19"/>
        <v>8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4165.3</v>
      </c>
      <c r="AG96" s="71">
        <f>B96+C96-AF96</f>
        <v>7152.271000000002</v>
      </c>
    </row>
    <row r="97" spans="1:33" ht="15.75">
      <c r="A97" s="3" t="s">
        <v>3</v>
      </c>
      <c r="B97" s="22">
        <f aca="true" t="shared" si="20" ref="B97:AA97">B18+B27+B42+B64+B78</f>
        <v>51.300000000000004</v>
      </c>
      <c r="C97" s="109">
        <f t="shared" si="20"/>
        <v>31.5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3.6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2.1</v>
      </c>
      <c r="M97" s="67">
        <f t="shared" si="20"/>
        <v>4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2.9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3</v>
      </c>
      <c r="W97" s="67">
        <f t="shared" si="20"/>
        <v>2.4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18</v>
      </c>
      <c r="AG97" s="71">
        <f>B97+C97-AF97</f>
        <v>64.80000000000001</v>
      </c>
    </row>
    <row r="98" spans="1:33" ht="15.75">
      <c r="A98" s="3" t="s">
        <v>1</v>
      </c>
      <c r="B98" s="22">
        <f aca="true" t="shared" si="21" ref="B98:AD98">B19+B28+B65+B35+B43+B56+B79</f>
        <v>4258.1</v>
      </c>
      <c r="C98" s="109">
        <f t="shared" si="21"/>
        <v>5298.736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632.4</v>
      </c>
      <c r="H98" s="67">
        <f t="shared" si="21"/>
        <v>567.7</v>
      </c>
      <c r="I98" s="67">
        <f t="shared" si="21"/>
        <v>0</v>
      </c>
      <c r="J98" s="72">
        <f t="shared" si="21"/>
        <v>0</v>
      </c>
      <c r="K98" s="67">
        <f t="shared" si="21"/>
        <v>302.09999999999997</v>
      </c>
      <c r="L98" s="72">
        <f t="shared" si="21"/>
        <v>75.2</v>
      </c>
      <c r="M98" s="67">
        <f t="shared" si="21"/>
        <v>178.7</v>
      </c>
      <c r="N98" s="67">
        <f t="shared" si="21"/>
        <v>0</v>
      </c>
      <c r="O98" s="67">
        <f t="shared" si="21"/>
        <v>0</v>
      </c>
      <c r="P98" s="67">
        <f t="shared" si="21"/>
        <v>0</v>
      </c>
      <c r="Q98" s="67">
        <f t="shared" si="21"/>
        <v>15</v>
      </c>
      <c r="R98" s="67">
        <f t="shared" si="21"/>
        <v>460.1</v>
      </c>
      <c r="S98" s="67">
        <f t="shared" si="21"/>
        <v>0</v>
      </c>
      <c r="T98" s="67">
        <f t="shared" si="21"/>
        <v>460</v>
      </c>
      <c r="U98" s="67">
        <f t="shared" si="21"/>
        <v>0</v>
      </c>
      <c r="V98" s="67">
        <f t="shared" si="21"/>
        <v>14.399999999999999</v>
      </c>
      <c r="W98" s="67">
        <f t="shared" si="21"/>
        <v>1110.6000000000001</v>
      </c>
      <c r="X98" s="67">
        <f t="shared" si="21"/>
        <v>6.3</v>
      </c>
      <c r="Y98" s="67">
        <f t="shared" si="21"/>
        <v>960.5999999999999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4783.1</v>
      </c>
      <c r="AG98" s="71">
        <f>B98+C98-AF98</f>
        <v>4773.735999999999</v>
      </c>
    </row>
    <row r="99" spans="1:33" ht="15.75">
      <c r="A99" s="3" t="s">
        <v>16</v>
      </c>
      <c r="B99" s="22">
        <f aca="true" t="shared" si="22" ref="B99:X99">B21+B30+B49+B37+B58+B13+B75+B67</f>
        <v>1732.5</v>
      </c>
      <c r="C99" s="109">
        <f t="shared" si="22"/>
        <v>3058.7379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135.4</v>
      </c>
      <c r="H99" s="67">
        <f t="shared" si="22"/>
        <v>32.5</v>
      </c>
      <c r="I99" s="67">
        <f t="shared" si="22"/>
        <v>0</v>
      </c>
      <c r="J99" s="72">
        <f t="shared" si="22"/>
        <v>0</v>
      </c>
      <c r="K99" s="67">
        <f t="shared" si="22"/>
        <v>61.7</v>
      </c>
      <c r="L99" s="72">
        <f t="shared" si="22"/>
        <v>0</v>
      </c>
      <c r="M99" s="67">
        <f t="shared" si="22"/>
        <v>198</v>
      </c>
      <c r="N99" s="67">
        <f t="shared" si="22"/>
        <v>0</v>
      </c>
      <c r="O99" s="67">
        <f t="shared" si="22"/>
        <v>29.1</v>
      </c>
      <c r="P99" s="67">
        <f t="shared" si="22"/>
        <v>16.4</v>
      </c>
      <c r="Q99" s="67">
        <f t="shared" si="22"/>
        <v>171.8</v>
      </c>
      <c r="R99" s="67">
        <f t="shared" si="22"/>
        <v>138.3</v>
      </c>
      <c r="S99" s="67">
        <f t="shared" si="22"/>
        <v>0</v>
      </c>
      <c r="T99" s="67">
        <f t="shared" si="22"/>
        <v>0</v>
      </c>
      <c r="U99" s="67">
        <f t="shared" si="22"/>
        <v>46</v>
      </c>
      <c r="V99" s="67">
        <f t="shared" si="22"/>
        <v>739.5999999999999</v>
      </c>
      <c r="W99" s="67">
        <f t="shared" si="22"/>
        <v>35.199999999999996</v>
      </c>
      <c r="X99" s="67">
        <f t="shared" si="22"/>
        <v>0</v>
      </c>
      <c r="Y99" s="67">
        <f aca="true" t="shared" si="23" ref="Y99:AD99">Y21+Y30+Y49+Y37+Y58+Y13+Y75</f>
        <v>5.1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1609.1</v>
      </c>
      <c r="AG99" s="71">
        <f>B99+C99-AF99</f>
        <v>3182.1379</v>
      </c>
    </row>
    <row r="100" spans="1:33" ht="12.75">
      <c r="A100" s="1" t="s">
        <v>35</v>
      </c>
      <c r="B100" s="2">
        <f aca="true" t="shared" si="24" ref="B100:AD100">B94-B95-B96-B97-B98-B99</f>
        <v>87629.80000000005</v>
      </c>
      <c r="C100" s="20">
        <f t="shared" si="24"/>
        <v>124265.78261999993</v>
      </c>
      <c r="D100" s="85">
        <f t="shared" si="24"/>
        <v>0</v>
      </c>
      <c r="E100" s="85">
        <f t="shared" si="24"/>
        <v>182.90000000000092</v>
      </c>
      <c r="F100" s="85">
        <f t="shared" si="24"/>
        <v>215.5</v>
      </c>
      <c r="G100" s="85">
        <f t="shared" si="24"/>
        <v>3436.8999999999996</v>
      </c>
      <c r="H100" s="85">
        <f t="shared" si="24"/>
        <v>4745.7</v>
      </c>
      <c r="I100" s="85">
        <f t="shared" si="24"/>
        <v>0</v>
      </c>
      <c r="J100" s="131">
        <f t="shared" si="24"/>
        <v>0</v>
      </c>
      <c r="K100" s="85">
        <f t="shared" si="24"/>
        <v>16035.899999999992</v>
      </c>
      <c r="L100" s="131">
        <f t="shared" si="24"/>
        <v>25527.1</v>
      </c>
      <c r="M100" s="85">
        <f t="shared" si="24"/>
        <v>2874.9000000000005</v>
      </c>
      <c r="N100" s="85">
        <f t="shared" si="24"/>
        <v>0</v>
      </c>
      <c r="O100" s="85">
        <f t="shared" si="24"/>
        <v>1625.7999999999997</v>
      </c>
      <c r="P100" s="85">
        <f t="shared" si="24"/>
        <v>5993.1</v>
      </c>
      <c r="Q100" s="85">
        <f t="shared" si="24"/>
        <v>581.0999999999999</v>
      </c>
      <c r="R100" s="85">
        <f t="shared" si="24"/>
        <v>7499.3</v>
      </c>
      <c r="S100" s="85">
        <f t="shared" si="24"/>
        <v>6183.6</v>
      </c>
      <c r="T100" s="85">
        <f t="shared" si="24"/>
        <v>5690.9</v>
      </c>
      <c r="U100" s="85">
        <f t="shared" si="24"/>
        <v>2858.6</v>
      </c>
      <c r="V100" s="85">
        <f t="shared" si="24"/>
        <v>891.0999999999999</v>
      </c>
      <c r="W100" s="85">
        <f t="shared" si="24"/>
        <v>27581.100000000006</v>
      </c>
      <c r="X100" s="85">
        <f t="shared" si="24"/>
        <v>7963.7</v>
      </c>
      <c r="Y100" s="85">
        <f t="shared" si="24"/>
        <v>4245.399999999998</v>
      </c>
      <c r="Z100" s="85">
        <f t="shared" si="24"/>
        <v>11746.8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135879.40000000002</v>
      </c>
      <c r="AG100" s="85">
        <f>AG94-AG95-AG96-AG97-AG98-AG99</f>
        <v>76016.18261999993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2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32" right="0.17" top="0.26" bottom="0.3" header="0.19" footer="0.3"/>
  <pageSetup horizontalDpi="600" verticalDpi="600" orientation="landscape" paperSize="9" scale="4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C186"/>
  <sheetViews>
    <sheetView tabSelected="1" zoomScale="70" zoomScaleNormal="70" zoomScalePageLayoutView="0" workbookViewId="0" topLeftCell="A1">
      <pane xSplit="1" topLeftCell="B1" activePane="topRight" state="frozen"/>
      <selection pane="topLeft" activeCell="A1" sqref="A1"/>
      <selection pane="topRight" activeCell="A4" sqref="A4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10.875" style="18" customWidth="1"/>
    <col min="11" max="11" width="10.625" style="0" customWidth="1"/>
    <col min="12" max="12" width="9.875" style="18" bestFit="1" customWidth="1"/>
    <col min="13" max="13" width="9.00390625" style="0" customWidth="1"/>
    <col min="14" max="14" width="8.25390625" style="0" hidden="1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10.875" style="0" customWidth="1"/>
    <col min="24" max="24" width="8.875" style="18" customWidth="1"/>
    <col min="25" max="26" width="8.75390625" style="18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2.125" style="0" customWidth="1"/>
    <col min="33" max="33" width="14.875" style="0" customWidth="1"/>
    <col min="34" max="34" width="9.25390625" style="0" hidden="1" customWidth="1"/>
  </cols>
  <sheetData>
    <row r="1" spans="1:33" ht="21" customHeight="1">
      <c r="A1" s="160" t="s">
        <v>12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</row>
    <row r="2" spans="1:33" ht="22.5" customHeight="1">
      <c r="A2" s="161" t="s">
        <v>74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75</v>
      </c>
      <c r="C4" s="90" t="s">
        <v>18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19">
        <v>13</v>
      </c>
      <c r="M4" s="8">
        <v>14</v>
      </c>
      <c r="N4" s="8">
        <v>15</v>
      </c>
      <c r="O4" s="8">
        <v>15</v>
      </c>
      <c r="P4" s="8">
        <v>16</v>
      </c>
      <c r="Q4" s="8">
        <v>19</v>
      </c>
      <c r="R4" s="8">
        <v>20</v>
      </c>
      <c r="S4" s="19">
        <v>21</v>
      </c>
      <c r="T4" s="19">
        <v>22</v>
      </c>
      <c r="U4" s="8">
        <v>23</v>
      </c>
      <c r="V4" s="8">
        <v>26</v>
      </c>
      <c r="W4" s="8">
        <v>27</v>
      </c>
      <c r="X4" s="19">
        <v>28</v>
      </c>
      <c r="Y4" s="19">
        <v>29</v>
      </c>
      <c r="Z4" s="19">
        <v>30</v>
      </c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34874.4</v>
      </c>
      <c r="C7" s="129">
        <v>3320.150000000014</v>
      </c>
      <c r="D7" s="38"/>
      <c r="E7" s="38">
        <v>17437.2</v>
      </c>
      <c r="F7" s="38"/>
      <c r="G7" s="38"/>
      <c r="H7" s="56"/>
      <c r="I7" s="38"/>
      <c r="J7" s="39"/>
      <c r="K7" s="38">
        <v>17437.2</v>
      </c>
      <c r="L7" s="39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16744.85000000002</v>
      </c>
      <c r="AF7" s="54"/>
      <c r="AG7" s="40"/>
    </row>
    <row r="8" spans="1:55" ht="18" customHeight="1">
      <c r="A8" s="47" t="s">
        <v>30</v>
      </c>
      <c r="B8" s="33">
        <f>SUM(E8:AB8)</f>
        <v>101060.20000000001</v>
      </c>
      <c r="C8" s="103">
        <v>152426.24000000014</v>
      </c>
      <c r="D8" s="59">
        <v>10755.7</v>
      </c>
      <c r="E8" s="60">
        <v>4689.2</v>
      </c>
      <c r="F8" s="137">
        <v>4677.6</v>
      </c>
      <c r="G8" s="137">
        <v>5708.5</v>
      </c>
      <c r="H8" s="137">
        <v>7007.6</v>
      </c>
      <c r="I8" s="137">
        <v>17240.2</v>
      </c>
      <c r="J8" s="138">
        <v>3745.4</v>
      </c>
      <c r="K8" s="138">
        <v>4380.4</v>
      </c>
      <c r="L8" s="138">
        <v>2995.1</v>
      </c>
      <c r="M8" s="137">
        <v>3529.1</v>
      </c>
      <c r="N8" s="137"/>
      <c r="O8" s="137">
        <v>6384.5</v>
      </c>
      <c r="P8" s="137">
        <v>13746.8</v>
      </c>
      <c r="Q8" s="137">
        <v>7507.6</v>
      </c>
      <c r="R8" s="137">
        <v>8952.6</v>
      </c>
      <c r="S8" s="63">
        <v>5392.9</v>
      </c>
      <c r="T8" s="63">
        <v>5102.7</v>
      </c>
      <c r="U8" s="61"/>
      <c r="V8" s="61"/>
      <c r="W8" s="61"/>
      <c r="X8" s="62"/>
      <c r="Y8" s="62"/>
      <c r="Z8" s="62"/>
      <c r="AA8" s="62"/>
      <c r="AB8" s="61"/>
      <c r="AC8" s="64"/>
      <c r="AD8" s="64"/>
      <c r="AE8" s="65">
        <f>SUM(D8:AD8)+C8-AF9+AF16+AF25</f>
        <v>189252.64000000016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104">
        <f>B10+B15+B24+B33+B47+B52+B54+B61+B62+B71+B72+B88+B76+B81+B83+B82+B69+B89+B90+B91+B70+B40+B92</f>
        <v>186469.90000000002</v>
      </c>
      <c r="C9" s="104">
        <f aca="true" t="shared" si="0" ref="C9:AD9">C10+C15+C24+C33+C47+C52+C54+C61+C62+C71+C72+C88+C76+C81+C83+C82+C69+C89+C90+C91+C70+C40+C92</f>
        <v>111831.22225999998</v>
      </c>
      <c r="D9" s="68">
        <f t="shared" si="0"/>
        <v>1534.5</v>
      </c>
      <c r="E9" s="68">
        <f t="shared" si="0"/>
        <v>8357.7</v>
      </c>
      <c r="F9" s="68">
        <f t="shared" si="0"/>
        <v>3845.3</v>
      </c>
      <c r="G9" s="68">
        <f t="shared" si="0"/>
        <v>4135.3</v>
      </c>
      <c r="H9" s="68">
        <f t="shared" si="0"/>
        <v>2418.7</v>
      </c>
      <c r="I9" s="68">
        <f t="shared" si="0"/>
        <v>1906.9</v>
      </c>
      <c r="J9" s="104">
        <f t="shared" si="0"/>
        <v>5510.5</v>
      </c>
      <c r="K9" s="68">
        <f t="shared" si="0"/>
        <v>7219.3</v>
      </c>
      <c r="L9" s="104">
        <f>L10+L15+L24+L33+L47+L52+L54+L61+L62+L71+L72+L88+L76+L81+L83+L82+L69+L89+L90+L91+L70+L40+L92</f>
        <v>38218.500000000015</v>
      </c>
      <c r="M9" s="68">
        <f t="shared" si="0"/>
        <v>5552.799999999999</v>
      </c>
      <c r="N9" s="68">
        <f t="shared" si="0"/>
        <v>0</v>
      </c>
      <c r="O9" s="68">
        <f t="shared" si="0"/>
        <v>6159.2</v>
      </c>
      <c r="P9" s="68">
        <f t="shared" si="0"/>
        <v>3470.0000000000005</v>
      </c>
      <c r="Q9" s="68">
        <f t="shared" si="0"/>
        <v>1906.1999999999998</v>
      </c>
      <c r="R9" s="68">
        <f t="shared" si="0"/>
        <v>3636.1</v>
      </c>
      <c r="S9" s="68">
        <f t="shared" si="0"/>
        <v>2155.3</v>
      </c>
      <c r="T9" s="68">
        <f t="shared" si="0"/>
        <v>412.9</v>
      </c>
      <c r="U9" s="68">
        <f t="shared" si="0"/>
        <v>0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96439.19999999998</v>
      </c>
      <c r="AG9" s="69">
        <f>AG10+AG15+AG24+AG33+AG47+AG52+AG54+AG61+AG62+AG71+AG72+AG76+AG88+AG81+AG83+AG82+AG69+AG89+AG91+AG90+AG70+AG40+AG92</f>
        <v>201861.92225999996</v>
      </c>
      <c r="AH9" s="41"/>
      <c r="AI9" s="41"/>
    </row>
    <row r="10" spans="1:34" ht="15.75">
      <c r="A10" s="4" t="s">
        <v>4</v>
      </c>
      <c r="B10" s="72">
        <f>14144.1+461</f>
        <v>14605.1</v>
      </c>
      <c r="C10" s="72">
        <v>4307.5</v>
      </c>
      <c r="D10" s="67">
        <v>0.1</v>
      </c>
      <c r="E10" s="67">
        <v>24.6</v>
      </c>
      <c r="F10" s="67">
        <v>255.3</v>
      </c>
      <c r="G10" s="67">
        <v>62.3</v>
      </c>
      <c r="H10" s="67">
        <v>21.8</v>
      </c>
      <c r="I10" s="67">
        <v>32.8</v>
      </c>
      <c r="J10" s="70">
        <v>6.6</v>
      </c>
      <c r="K10" s="67">
        <v>402.7</v>
      </c>
      <c r="L10" s="72">
        <v>1480.2</v>
      </c>
      <c r="M10" s="67">
        <v>3226</v>
      </c>
      <c r="N10" s="67"/>
      <c r="O10" s="71">
        <v>109.1</v>
      </c>
      <c r="P10" s="67">
        <v>17.7</v>
      </c>
      <c r="Q10" s="67">
        <v>22.1</v>
      </c>
      <c r="R10" s="67">
        <v>585.8</v>
      </c>
      <c r="S10" s="72">
        <v>20.3</v>
      </c>
      <c r="T10" s="72">
        <v>65</v>
      </c>
      <c r="U10" s="72"/>
      <c r="V10" s="72"/>
      <c r="W10" s="72"/>
      <c r="X10" s="67"/>
      <c r="Y10" s="71"/>
      <c r="Z10" s="72"/>
      <c r="AA10" s="72"/>
      <c r="AB10" s="67"/>
      <c r="AC10" s="67"/>
      <c r="AD10" s="67"/>
      <c r="AE10" s="67"/>
      <c r="AF10" s="67">
        <f>SUM(D10:AD10)</f>
        <v>6332.400000000001</v>
      </c>
      <c r="AG10" s="72">
        <f>B10+C10-AF10</f>
        <v>12580.199999999997</v>
      </c>
      <c r="AH10" s="18"/>
    </row>
    <row r="11" spans="1:34" ht="15.75">
      <c r="A11" s="3" t="s">
        <v>5</v>
      </c>
      <c r="B11" s="72">
        <f>12937.7+490</f>
        <v>13427.7</v>
      </c>
      <c r="C11" s="72">
        <v>2570.7</v>
      </c>
      <c r="D11" s="67"/>
      <c r="E11" s="67"/>
      <c r="F11" s="67">
        <v>238.9</v>
      </c>
      <c r="G11" s="67">
        <v>24.7</v>
      </c>
      <c r="H11" s="67"/>
      <c r="I11" s="67">
        <v>32.1</v>
      </c>
      <c r="J11" s="72">
        <v>0.5</v>
      </c>
      <c r="K11" s="67">
        <v>370.7</v>
      </c>
      <c r="L11" s="72">
        <v>1385.1</v>
      </c>
      <c r="M11" s="67">
        <v>3197.6</v>
      </c>
      <c r="N11" s="67"/>
      <c r="O11" s="71">
        <v>71.4</v>
      </c>
      <c r="P11" s="67"/>
      <c r="Q11" s="67">
        <v>2.6</v>
      </c>
      <c r="R11" s="67">
        <v>6.3</v>
      </c>
      <c r="S11" s="72"/>
      <c r="T11" s="72"/>
      <c r="U11" s="72"/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5329.900000000001</v>
      </c>
      <c r="AG11" s="72">
        <f>B11+C11-AF11</f>
        <v>10668.5</v>
      </c>
      <c r="AH11" s="18"/>
    </row>
    <row r="12" spans="1:34" ht="15.75">
      <c r="A12" s="3" t="s">
        <v>2</v>
      </c>
      <c r="B12" s="70">
        <f>447.3-40</f>
        <v>407.3</v>
      </c>
      <c r="C12" s="72">
        <v>171.3</v>
      </c>
      <c r="D12" s="67"/>
      <c r="E12" s="67">
        <v>3.4</v>
      </c>
      <c r="F12" s="67"/>
      <c r="G12" s="67"/>
      <c r="H12" s="67"/>
      <c r="I12" s="67"/>
      <c r="J12" s="72"/>
      <c r="K12" s="67"/>
      <c r="L12" s="72">
        <v>14.9</v>
      </c>
      <c r="M12" s="67"/>
      <c r="N12" s="67"/>
      <c r="O12" s="71">
        <v>1.4</v>
      </c>
      <c r="P12" s="67"/>
      <c r="Q12" s="67">
        <v>1.3</v>
      </c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21</v>
      </c>
      <c r="AG12" s="72">
        <f>B12+C12-AF12</f>
        <v>557.6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5" ht="15.75">
      <c r="A14" s="3" t="s">
        <v>23</v>
      </c>
      <c r="B14" s="72">
        <f>B10-B11-B12-B13</f>
        <v>770.0999999999997</v>
      </c>
      <c r="C14" s="72">
        <f>C10-C11-C12-C13</f>
        <v>1565.5000000000002</v>
      </c>
      <c r="D14" s="67">
        <f aca="true" t="shared" si="2" ref="D14:AD14">D10-D11-D12-D13</f>
        <v>0.1</v>
      </c>
      <c r="E14" s="67">
        <f t="shared" si="2"/>
        <v>21.200000000000003</v>
      </c>
      <c r="F14" s="67">
        <f t="shared" si="2"/>
        <v>16.400000000000006</v>
      </c>
      <c r="G14" s="67">
        <f t="shared" si="2"/>
        <v>37.599999999999994</v>
      </c>
      <c r="H14" s="67">
        <f t="shared" si="2"/>
        <v>21.8</v>
      </c>
      <c r="I14" s="67">
        <f t="shared" si="2"/>
        <v>0.6999999999999957</v>
      </c>
      <c r="J14" s="72">
        <f t="shared" si="2"/>
        <v>6.1</v>
      </c>
      <c r="K14" s="67">
        <f t="shared" si="2"/>
        <v>32</v>
      </c>
      <c r="L14" s="72">
        <f t="shared" si="2"/>
        <v>80.20000000000013</v>
      </c>
      <c r="M14" s="67">
        <f t="shared" si="2"/>
        <v>28.40000000000009</v>
      </c>
      <c r="N14" s="67">
        <f t="shared" si="2"/>
        <v>0</v>
      </c>
      <c r="O14" s="67">
        <f t="shared" si="2"/>
        <v>36.29999999999999</v>
      </c>
      <c r="P14" s="67">
        <f t="shared" si="2"/>
        <v>17.7</v>
      </c>
      <c r="Q14" s="67">
        <f t="shared" si="2"/>
        <v>18.2</v>
      </c>
      <c r="R14" s="67">
        <f t="shared" si="2"/>
        <v>579.5</v>
      </c>
      <c r="S14" s="67">
        <f t="shared" si="2"/>
        <v>20.3</v>
      </c>
      <c r="T14" s="67">
        <f t="shared" si="2"/>
        <v>65</v>
      </c>
      <c r="U14" s="67">
        <f t="shared" si="2"/>
        <v>0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>
        <f t="shared" si="2"/>
        <v>0</v>
      </c>
      <c r="AA14" s="67">
        <f t="shared" si="2"/>
        <v>0</v>
      </c>
      <c r="AB14" s="67">
        <f t="shared" si="2"/>
        <v>0</v>
      </c>
      <c r="AC14" s="67">
        <f t="shared" si="2"/>
        <v>0</v>
      </c>
      <c r="AD14" s="67">
        <f t="shared" si="2"/>
        <v>0</v>
      </c>
      <c r="AE14" s="67"/>
      <c r="AF14" s="71">
        <f t="shared" si="1"/>
        <v>981.5000000000002</v>
      </c>
      <c r="AG14" s="72">
        <f>AG10-AG11-AG12-AG13</f>
        <v>1354.0999999999972</v>
      </c>
      <c r="AH14" s="18"/>
      <c r="AI14" s="86"/>
    </row>
    <row r="15" spans="1:35" ht="15" customHeight="1">
      <c r="A15" s="4" t="s">
        <v>6</v>
      </c>
      <c r="B15" s="72">
        <f>52048.5+19179.6</f>
        <v>71228.1</v>
      </c>
      <c r="C15" s="72">
        <v>37805.2</v>
      </c>
      <c r="D15" s="73"/>
      <c r="E15" s="73">
        <v>47.7</v>
      </c>
      <c r="F15" s="67">
        <v>552.1</v>
      </c>
      <c r="G15" s="67">
        <v>43.7</v>
      </c>
      <c r="H15" s="67">
        <v>1450.2</v>
      </c>
      <c r="I15" s="67"/>
      <c r="J15" s="72">
        <v>876.5</v>
      </c>
      <c r="K15" s="67">
        <v>2300.1</v>
      </c>
      <c r="L15" s="72">
        <f>12192.9+9616.3</f>
        <v>21809.199999999997</v>
      </c>
      <c r="M15" s="67">
        <v>625.4</v>
      </c>
      <c r="N15" s="67"/>
      <c r="O15" s="71">
        <v>24.1</v>
      </c>
      <c r="P15" s="67">
        <v>1357.7</v>
      </c>
      <c r="Q15" s="71">
        <v>12.9</v>
      </c>
      <c r="R15" s="67">
        <v>1047.5</v>
      </c>
      <c r="S15" s="72">
        <v>996.5</v>
      </c>
      <c r="T15" s="72">
        <v>41.9</v>
      </c>
      <c r="U15" s="72"/>
      <c r="V15" s="72"/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31185.5</v>
      </c>
      <c r="AG15" s="72">
        <f aca="true" t="shared" si="3" ref="AG15:AG31">B15+C15-AF15</f>
        <v>77847.8</v>
      </c>
      <c r="AH15" s="112"/>
      <c r="AI15" s="86"/>
    </row>
    <row r="16" spans="1:34" s="53" customFormat="1" ht="15" customHeight="1">
      <c r="A16" s="51" t="s">
        <v>38</v>
      </c>
      <c r="B16" s="76">
        <v>19179.6</v>
      </c>
      <c r="C16" s="76">
        <v>609.8</v>
      </c>
      <c r="D16" s="74"/>
      <c r="E16" s="74">
        <v>32.8</v>
      </c>
      <c r="F16" s="75"/>
      <c r="G16" s="75"/>
      <c r="H16" s="75"/>
      <c r="I16" s="75"/>
      <c r="J16" s="76"/>
      <c r="K16" s="75"/>
      <c r="L16" s="76">
        <v>9616.3</v>
      </c>
      <c r="M16" s="75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9649.099999999999</v>
      </c>
      <c r="AG16" s="115">
        <f t="shared" si="3"/>
        <v>10140.3</v>
      </c>
      <c r="AH16" s="116"/>
    </row>
    <row r="17" spans="1:34" ht="15.75">
      <c r="A17" s="3" t="s">
        <v>5</v>
      </c>
      <c r="B17" s="72">
        <v>52770.6</v>
      </c>
      <c r="C17" s="72">
        <v>16254.3</v>
      </c>
      <c r="D17" s="67"/>
      <c r="E17" s="67">
        <v>47.7</v>
      </c>
      <c r="F17" s="67"/>
      <c r="G17" s="67">
        <v>29.6</v>
      </c>
      <c r="H17" s="67"/>
      <c r="I17" s="67"/>
      <c r="J17" s="72"/>
      <c r="K17" s="67"/>
      <c r="L17" s="72">
        <f>11907.8+9616.3</f>
        <v>21524.1</v>
      </c>
      <c r="M17" s="67"/>
      <c r="N17" s="67"/>
      <c r="O17" s="71"/>
      <c r="P17" s="67"/>
      <c r="Q17" s="71"/>
      <c r="R17" s="67"/>
      <c r="S17" s="72"/>
      <c r="T17" s="72"/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21601.399999999998</v>
      </c>
      <c r="AG17" s="72">
        <f t="shared" si="3"/>
        <v>47423.5</v>
      </c>
      <c r="AH17" s="21"/>
    </row>
    <row r="18" spans="1:34" ht="15.75">
      <c r="A18" s="3" t="s">
        <v>3</v>
      </c>
      <c r="B18" s="72">
        <v>0</v>
      </c>
      <c r="C18" s="72">
        <v>55</v>
      </c>
      <c r="D18" s="67"/>
      <c r="E18" s="67"/>
      <c r="F18" s="67"/>
      <c r="G18" s="67"/>
      <c r="H18" s="67">
        <v>1.4</v>
      </c>
      <c r="I18" s="67"/>
      <c r="J18" s="72">
        <v>2</v>
      </c>
      <c r="K18" s="67">
        <v>0.9</v>
      </c>
      <c r="L18" s="72"/>
      <c r="M18" s="67"/>
      <c r="N18" s="67"/>
      <c r="O18" s="71"/>
      <c r="P18" s="67">
        <v>5.2</v>
      </c>
      <c r="Q18" s="71"/>
      <c r="R18" s="67"/>
      <c r="S18" s="72">
        <v>1</v>
      </c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10.5</v>
      </c>
      <c r="AG18" s="72">
        <f t="shared" si="3"/>
        <v>44.5</v>
      </c>
      <c r="AH18" s="18"/>
    </row>
    <row r="19" spans="1:34" ht="15.75">
      <c r="A19" s="3" t="s">
        <v>1</v>
      </c>
      <c r="B19" s="72">
        <v>3940.5</v>
      </c>
      <c r="C19" s="72">
        <v>4611</v>
      </c>
      <c r="D19" s="67"/>
      <c r="E19" s="67"/>
      <c r="F19" s="67">
        <v>302.2</v>
      </c>
      <c r="G19" s="67"/>
      <c r="H19" s="67">
        <v>523.8</v>
      </c>
      <c r="I19" s="67"/>
      <c r="J19" s="72">
        <v>626.1</v>
      </c>
      <c r="K19" s="67">
        <v>7.2</v>
      </c>
      <c r="L19" s="72">
        <v>39.9</v>
      </c>
      <c r="M19" s="67">
        <v>625.4</v>
      </c>
      <c r="N19" s="67"/>
      <c r="O19" s="71"/>
      <c r="P19" s="67">
        <v>172.1</v>
      </c>
      <c r="Q19" s="71"/>
      <c r="R19" s="67">
        <v>511.6</v>
      </c>
      <c r="S19" s="72">
        <v>224.9</v>
      </c>
      <c r="T19" s="72"/>
      <c r="U19" s="72"/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3033.2</v>
      </c>
      <c r="AG19" s="72">
        <f t="shared" si="3"/>
        <v>5518.3</v>
      </c>
      <c r="AH19" s="18"/>
    </row>
    <row r="20" spans="1:34" ht="15.75">
      <c r="A20" s="3" t="s">
        <v>2</v>
      </c>
      <c r="B20" s="72">
        <v>12951</v>
      </c>
      <c r="C20" s="72">
        <v>5629.8</v>
      </c>
      <c r="D20" s="67"/>
      <c r="E20" s="67"/>
      <c r="F20" s="67">
        <v>231</v>
      </c>
      <c r="G20" s="67">
        <v>4.2</v>
      </c>
      <c r="H20" s="67">
        <v>849.6</v>
      </c>
      <c r="I20" s="67"/>
      <c r="J20" s="72"/>
      <c r="K20" s="67">
        <v>1744.6</v>
      </c>
      <c r="L20" s="72">
        <v>232.4</v>
      </c>
      <c r="M20" s="67"/>
      <c r="N20" s="67"/>
      <c r="O20" s="71"/>
      <c r="P20" s="67">
        <v>552.6</v>
      </c>
      <c r="Q20" s="71">
        <v>12.9</v>
      </c>
      <c r="R20" s="67">
        <v>535.9</v>
      </c>
      <c r="S20" s="72">
        <v>400.1</v>
      </c>
      <c r="T20" s="72">
        <v>27.1</v>
      </c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4590.400000000001</v>
      </c>
      <c r="AG20" s="72">
        <f t="shared" si="3"/>
        <v>13990.399999999998</v>
      </c>
      <c r="AH20" s="18"/>
    </row>
    <row r="21" spans="1:34" ht="15.75">
      <c r="A21" s="3" t="s">
        <v>16</v>
      </c>
      <c r="B21" s="72">
        <v>1118.4</v>
      </c>
      <c r="C21" s="72">
        <v>549.3</v>
      </c>
      <c r="D21" s="67"/>
      <c r="E21" s="67"/>
      <c r="F21" s="67"/>
      <c r="G21" s="67"/>
      <c r="H21" s="67"/>
      <c r="I21" s="67"/>
      <c r="J21" s="72">
        <f>208.9+3.5</f>
        <v>212.4</v>
      </c>
      <c r="K21" s="67">
        <v>42</v>
      </c>
      <c r="L21" s="72"/>
      <c r="M21" s="67"/>
      <c r="N21" s="67"/>
      <c r="O21" s="71"/>
      <c r="P21" s="67">
        <f>191.4+18</f>
        <v>209.4</v>
      </c>
      <c r="Q21" s="71"/>
      <c r="R21" s="67"/>
      <c r="S21" s="72">
        <f>329.4+25.6</f>
        <v>355</v>
      </c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818.8</v>
      </c>
      <c r="AG21" s="72">
        <f t="shared" si="3"/>
        <v>848.9000000000001</v>
      </c>
      <c r="AH21" s="18"/>
    </row>
    <row r="22" spans="1:34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447.6000000000072</v>
      </c>
      <c r="C23" s="72">
        <f t="shared" si="4"/>
        <v>10705.8</v>
      </c>
      <c r="D23" s="67">
        <f t="shared" si="4"/>
        <v>0</v>
      </c>
      <c r="E23" s="67">
        <f t="shared" si="4"/>
        <v>0</v>
      </c>
      <c r="F23" s="67">
        <f t="shared" si="4"/>
        <v>18.900000000000034</v>
      </c>
      <c r="G23" s="67">
        <f t="shared" si="4"/>
        <v>9.900000000000002</v>
      </c>
      <c r="H23" s="67">
        <f t="shared" si="4"/>
        <v>75.39999999999998</v>
      </c>
      <c r="I23" s="67">
        <f t="shared" si="4"/>
        <v>0</v>
      </c>
      <c r="J23" s="72">
        <f t="shared" si="4"/>
        <v>35.99999999999997</v>
      </c>
      <c r="K23" s="67">
        <f t="shared" si="4"/>
        <v>505.4000000000001</v>
      </c>
      <c r="L23" s="72">
        <f t="shared" si="4"/>
        <v>12.799999999998533</v>
      </c>
      <c r="M23" s="67">
        <f t="shared" si="4"/>
        <v>0</v>
      </c>
      <c r="N23" s="67">
        <f t="shared" si="4"/>
        <v>0</v>
      </c>
      <c r="O23" s="67">
        <f t="shared" si="4"/>
        <v>24.1</v>
      </c>
      <c r="P23" s="67">
        <f t="shared" si="4"/>
        <v>418.4000000000001</v>
      </c>
      <c r="Q23" s="67">
        <f t="shared" si="4"/>
        <v>0</v>
      </c>
      <c r="R23" s="67">
        <f t="shared" si="4"/>
        <v>0</v>
      </c>
      <c r="S23" s="67">
        <f t="shared" si="4"/>
        <v>15.5</v>
      </c>
      <c r="T23" s="67">
        <f t="shared" si="4"/>
        <v>14.799999999999997</v>
      </c>
      <c r="U23" s="67">
        <f t="shared" si="4"/>
        <v>0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1131.1999999999987</v>
      </c>
      <c r="AG23" s="72">
        <f>B23+C23-AF23</f>
        <v>10022.200000000008</v>
      </c>
      <c r="AH23" s="18"/>
    </row>
    <row r="24" spans="1:35" ht="15" customHeight="1">
      <c r="A24" s="4" t="s">
        <v>7</v>
      </c>
      <c r="B24" s="72">
        <v>32454.2</v>
      </c>
      <c r="C24" s="72">
        <v>9697.620999999985</v>
      </c>
      <c r="D24" s="67">
        <v>172.6</v>
      </c>
      <c r="E24" s="67">
        <v>66.5</v>
      </c>
      <c r="F24" s="67">
        <v>31.3</v>
      </c>
      <c r="G24" s="67">
        <v>139.6</v>
      </c>
      <c r="H24" s="67"/>
      <c r="I24" s="67"/>
      <c r="J24" s="72">
        <v>1765.2</v>
      </c>
      <c r="K24" s="67">
        <v>3003.7</v>
      </c>
      <c r="L24" s="72">
        <f>332.1+9166.5</f>
        <v>9498.6</v>
      </c>
      <c r="M24" s="67"/>
      <c r="N24" s="67"/>
      <c r="O24" s="71"/>
      <c r="P24" s="67">
        <f>711.1+765.1</f>
        <v>1476.2</v>
      </c>
      <c r="Q24" s="71">
        <f>114.4+37.9</f>
        <v>152.3</v>
      </c>
      <c r="R24" s="71"/>
      <c r="S24" s="72"/>
      <c r="T24" s="72"/>
      <c r="U24" s="72"/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16306</v>
      </c>
      <c r="AG24" s="72">
        <f t="shared" si="3"/>
        <v>25845.82099999998</v>
      </c>
      <c r="AH24" s="86"/>
      <c r="AI24" s="86"/>
    </row>
    <row r="25" spans="1:35" s="117" customFormat="1" ht="15" customHeight="1">
      <c r="A25" s="113" t="s">
        <v>39</v>
      </c>
      <c r="B25" s="76">
        <v>15694.8</v>
      </c>
      <c r="C25" s="76">
        <v>708.2000000000025</v>
      </c>
      <c r="D25" s="76"/>
      <c r="E25" s="76">
        <v>34.6</v>
      </c>
      <c r="F25" s="76">
        <v>31.3</v>
      </c>
      <c r="G25" s="76"/>
      <c r="H25" s="76"/>
      <c r="I25" s="76"/>
      <c r="J25" s="76">
        <v>1765.2</v>
      </c>
      <c r="K25" s="76"/>
      <c r="L25" s="76">
        <v>9166.5</v>
      </c>
      <c r="M25" s="76"/>
      <c r="N25" s="76"/>
      <c r="O25" s="76"/>
      <c r="P25" s="76">
        <v>765.1</v>
      </c>
      <c r="Q25" s="76">
        <v>37.9</v>
      </c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11800.6</v>
      </c>
      <c r="AG25" s="115">
        <f t="shared" si="3"/>
        <v>4602.4</v>
      </c>
      <c r="AH25" s="116"/>
      <c r="AI25" s="142"/>
    </row>
    <row r="26" spans="1:34" ht="15.75" hidden="1">
      <c r="A26" s="3" t="s">
        <v>5</v>
      </c>
      <c r="B26" s="72"/>
      <c r="C26" s="72">
        <v>0</v>
      </c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>
        <v>0</v>
      </c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>
        <v>0</v>
      </c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>
        <v>0</v>
      </c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>
        <v>0</v>
      </c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32454.2</v>
      </c>
      <c r="C32" s="72">
        <f>C24</f>
        <v>9697.620999999985</v>
      </c>
      <c r="D32" s="67">
        <f>D24-D26-D27-D28-D29-D30-D31</f>
        <v>172.6</v>
      </c>
      <c r="E32" s="67">
        <f aca="true" t="shared" si="5" ref="E32:AD32">E24-E26-E27-E28-E29-E30-E31</f>
        <v>66.5</v>
      </c>
      <c r="F32" s="67">
        <f t="shared" si="5"/>
        <v>31.3</v>
      </c>
      <c r="G32" s="67">
        <f t="shared" si="5"/>
        <v>139.6</v>
      </c>
      <c r="H32" s="67">
        <f t="shared" si="5"/>
        <v>0</v>
      </c>
      <c r="I32" s="67">
        <f t="shared" si="5"/>
        <v>0</v>
      </c>
      <c r="J32" s="72">
        <f t="shared" si="5"/>
        <v>1765.2</v>
      </c>
      <c r="K32" s="67">
        <f t="shared" si="5"/>
        <v>3003.7</v>
      </c>
      <c r="L32" s="72">
        <f t="shared" si="5"/>
        <v>9498.6</v>
      </c>
      <c r="M32" s="67">
        <f t="shared" si="5"/>
        <v>0</v>
      </c>
      <c r="N32" s="67">
        <f t="shared" si="5"/>
        <v>0</v>
      </c>
      <c r="O32" s="67">
        <f t="shared" si="5"/>
        <v>0</v>
      </c>
      <c r="P32" s="67">
        <f t="shared" si="5"/>
        <v>1476.2</v>
      </c>
      <c r="Q32" s="67">
        <f t="shared" si="5"/>
        <v>152.3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0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16306</v>
      </c>
      <c r="AG32" s="72">
        <f>AG24</f>
        <v>25845.82099999998</v>
      </c>
    </row>
    <row r="33" spans="1:33" ht="15" customHeight="1">
      <c r="A33" s="4" t="s">
        <v>8</v>
      </c>
      <c r="B33" s="72">
        <f>215.4+128.8</f>
        <v>344.20000000000005</v>
      </c>
      <c r="C33" s="72">
        <v>1500.9</v>
      </c>
      <c r="D33" s="67"/>
      <c r="E33" s="67"/>
      <c r="F33" s="67"/>
      <c r="G33" s="67"/>
      <c r="H33" s="67"/>
      <c r="I33" s="67"/>
      <c r="J33" s="72"/>
      <c r="K33" s="67"/>
      <c r="L33" s="72">
        <v>85.2</v>
      </c>
      <c r="M33" s="67"/>
      <c r="N33" s="67"/>
      <c r="O33" s="71">
        <v>0.9</v>
      </c>
      <c r="P33" s="67"/>
      <c r="Q33" s="71"/>
      <c r="R33" s="67"/>
      <c r="S33" s="72"/>
      <c r="T33" s="72"/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86.10000000000001</v>
      </c>
      <c r="AG33" s="72">
        <f aca="true" t="shared" si="6" ref="AG33:AG38">B33+C33-AF33</f>
        <v>1759.0000000000002</v>
      </c>
    </row>
    <row r="34" spans="1:33" ht="15.75">
      <c r="A34" s="3" t="s">
        <v>5</v>
      </c>
      <c r="B34" s="72">
        <f>133+120.9</f>
        <v>253.9</v>
      </c>
      <c r="C34" s="72">
        <v>135.3</v>
      </c>
      <c r="D34" s="67"/>
      <c r="E34" s="67"/>
      <c r="F34" s="67"/>
      <c r="G34" s="67"/>
      <c r="H34" s="67"/>
      <c r="I34" s="67"/>
      <c r="J34" s="72"/>
      <c r="K34" s="67"/>
      <c r="L34" s="72">
        <v>81.2</v>
      </c>
      <c r="M34" s="67"/>
      <c r="N34" s="67"/>
      <c r="O34" s="67"/>
      <c r="P34" s="67"/>
      <c r="Q34" s="71"/>
      <c r="R34" s="67"/>
      <c r="S34" s="72"/>
      <c r="T34" s="72"/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81.2</v>
      </c>
      <c r="AG34" s="72">
        <f t="shared" si="6"/>
        <v>308.00000000000006</v>
      </c>
    </row>
    <row r="35" spans="1:33" ht="15.75">
      <c r="A35" s="3" t="s">
        <v>1</v>
      </c>
      <c r="B35" s="72">
        <v>0</v>
      </c>
      <c r="C35" s="72">
        <v>2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2</v>
      </c>
    </row>
    <row r="36" spans="1:33" ht="15.75">
      <c r="A36" s="3" t="s">
        <v>2</v>
      </c>
      <c r="B36" s="111">
        <f>58.4+5.8</f>
        <v>64.2</v>
      </c>
      <c r="C36" s="72">
        <v>46.3</v>
      </c>
      <c r="D36" s="67"/>
      <c r="E36" s="67"/>
      <c r="F36" s="67"/>
      <c r="G36" s="67"/>
      <c r="H36" s="67"/>
      <c r="I36" s="67"/>
      <c r="J36" s="72"/>
      <c r="K36" s="67"/>
      <c r="L36" s="72">
        <v>1.9</v>
      </c>
      <c r="M36" s="67"/>
      <c r="N36" s="72"/>
      <c r="O36" s="71">
        <v>0.2</v>
      </c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2.1</v>
      </c>
      <c r="AG36" s="72">
        <f t="shared" si="6"/>
        <v>108.4</v>
      </c>
    </row>
    <row r="37" spans="1:33" ht="15.75">
      <c r="A37" s="3" t="s">
        <v>16</v>
      </c>
      <c r="B37" s="72">
        <v>0</v>
      </c>
      <c r="C37" s="72">
        <v>1283.2</v>
      </c>
      <c r="D37" s="67"/>
      <c r="E37" s="67"/>
      <c r="F37" s="67"/>
      <c r="G37" s="67"/>
      <c r="H37" s="67"/>
      <c r="I37" s="67"/>
      <c r="J37" s="72"/>
      <c r="K37" s="67"/>
      <c r="L37" s="72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1283.2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26.100000000000037</v>
      </c>
      <c r="C39" s="72">
        <f t="shared" si="7"/>
        <v>34.100000000000136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72">
        <f t="shared" si="7"/>
        <v>0</v>
      </c>
      <c r="K39" s="67">
        <f t="shared" si="7"/>
        <v>0</v>
      </c>
      <c r="L39" s="72">
        <f t="shared" si="7"/>
        <v>2.1</v>
      </c>
      <c r="M39" s="67">
        <f t="shared" si="7"/>
        <v>0</v>
      </c>
      <c r="N39" s="67">
        <f t="shared" si="7"/>
        <v>0</v>
      </c>
      <c r="O39" s="67">
        <f t="shared" si="7"/>
        <v>0.7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2.8</v>
      </c>
      <c r="AG39" s="72">
        <f>AG33-AG34-AG36-AG38-AG35-AG37</f>
        <v>57.40000000000009</v>
      </c>
    </row>
    <row r="40" spans="1:33" ht="15" customHeight="1">
      <c r="A40" s="4" t="s">
        <v>29</v>
      </c>
      <c r="B40" s="72">
        <v>1142.1</v>
      </c>
      <c r="C40" s="72">
        <v>224.5</v>
      </c>
      <c r="D40" s="67"/>
      <c r="E40" s="67"/>
      <c r="F40" s="67"/>
      <c r="G40" s="67">
        <v>30.3</v>
      </c>
      <c r="H40" s="67"/>
      <c r="I40" s="67"/>
      <c r="J40" s="72"/>
      <c r="K40" s="67"/>
      <c r="L40" s="72">
        <v>326.3</v>
      </c>
      <c r="M40" s="67"/>
      <c r="N40" s="67"/>
      <c r="O40" s="71"/>
      <c r="P40" s="67"/>
      <c r="Q40" s="71"/>
      <c r="R40" s="71">
        <v>16.1</v>
      </c>
      <c r="S40" s="72"/>
      <c r="T40" s="72"/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372.70000000000005</v>
      </c>
      <c r="AG40" s="72">
        <f aca="true" t="shared" si="8" ref="AG40:AG45">B40+C40-AF40</f>
        <v>993.8999999999999</v>
      </c>
    </row>
    <row r="41" spans="1:34" ht="15.75">
      <c r="A41" s="3" t="s">
        <v>5</v>
      </c>
      <c r="B41" s="72">
        <v>1011.7</v>
      </c>
      <c r="C41" s="72">
        <v>132.8</v>
      </c>
      <c r="D41" s="67"/>
      <c r="E41" s="67"/>
      <c r="F41" s="67"/>
      <c r="G41" s="67">
        <v>5.2</v>
      </c>
      <c r="H41" s="67"/>
      <c r="I41" s="67"/>
      <c r="J41" s="72"/>
      <c r="K41" s="67"/>
      <c r="L41" s="72">
        <v>303.9</v>
      </c>
      <c r="M41" s="67"/>
      <c r="N41" s="67"/>
      <c r="O41" s="71"/>
      <c r="P41" s="67"/>
      <c r="Q41" s="67"/>
      <c r="R41" s="67"/>
      <c r="S41" s="72"/>
      <c r="T41" s="72"/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309.09999999999997</v>
      </c>
      <c r="AG41" s="72">
        <f t="shared" si="8"/>
        <v>835.4000000000001</v>
      </c>
      <c r="AH41" s="6"/>
    </row>
    <row r="42" spans="1:33" ht="15.75">
      <c r="A42" s="3" t="s">
        <v>3</v>
      </c>
      <c r="B42" s="72">
        <v>0.7</v>
      </c>
      <c r="C42" s="72">
        <v>0.1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0.7999999999999999</v>
      </c>
    </row>
    <row r="43" spans="1:33" ht="15.75">
      <c r="A43" s="3" t="s">
        <v>1</v>
      </c>
      <c r="B43" s="72">
        <v>10.5</v>
      </c>
      <c r="C43" s="72">
        <v>17.8</v>
      </c>
      <c r="D43" s="67"/>
      <c r="E43" s="67"/>
      <c r="F43" s="67"/>
      <c r="G43" s="67"/>
      <c r="H43" s="67"/>
      <c r="I43" s="67"/>
      <c r="J43" s="72"/>
      <c r="K43" s="67"/>
      <c r="L43" s="72">
        <v>9.6</v>
      </c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9.6</v>
      </c>
      <c r="AG43" s="72">
        <f t="shared" si="8"/>
        <v>18.700000000000003</v>
      </c>
    </row>
    <row r="44" spans="1:33" ht="15.75">
      <c r="A44" s="3" t="s">
        <v>2</v>
      </c>
      <c r="B44" s="72">
        <v>89.7</v>
      </c>
      <c r="C44" s="72">
        <v>54.5</v>
      </c>
      <c r="D44" s="67"/>
      <c r="E44" s="67"/>
      <c r="F44" s="67"/>
      <c r="G44" s="67">
        <v>16</v>
      </c>
      <c r="H44" s="67"/>
      <c r="I44" s="67"/>
      <c r="J44" s="72"/>
      <c r="K44" s="67"/>
      <c r="L44" s="72"/>
      <c r="M44" s="67"/>
      <c r="N44" s="67"/>
      <c r="O44" s="71"/>
      <c r="P44" s="67"/>
      <c r="Q44" s="67"/>
      <c r="R44" s="67">
        <v>15.9</v>
      </c>
      <c r="S44" s="72"/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31.9</v>
      </c>
      <c r="AG44" s="72">
        <f t="shared" si="8"/>
        <v>112.29999999999998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29.499999999999872</v>
      </c>
      <c r="C46" s="72">
        <f t="shared" si="9"/>
        <v>19.299999999999997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9.100000000000001</v>
      </c>
      <c r="H46" s="67">
        <f t="shared" si="9"/>
        <v>0</v>
      </c>
      <c r="I46" s="67">
        <f t="shared" si="9"/>
        <v>0</v>
      </c>
      <c r="J46" s="72">
        <f t="shared" si="9"/>
        <v>0</v>
      </c>
      <c r="K46" s="67">
        <f t="shared" si="9"/>
        <v>0</v>
      </c>
      <c r="L46" s="72">
        <f t="shared" si="9"/>
        <v>12.800000000000034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0.20000000000000107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22.100000000000037</v>
      </c>
      <c r="AG46" s="72">
        <f>AG40-AG41-AG42-AG43-AG44-AG45</f>
        <v>26.69999999999979</v>
      </c>
    </row>
    <row r="47" spans="1:33" ht="17.25" customHeight="1">
      <c r="A47" s="4" t="s">
        <v>43</v>
      </c>
      <c r="B47" s="70">
        <f>784.9+0.1-461</f>
        <v>324</v>
      </c>
      <c r="C47" s="72">
        <v>1488.6</v>
      </c>
      <c r="D47" s="67"/>
      <c r="E47" s="79">
        <v>20</v>
      </c>
      <c r="F47" s="79"/>
      <c r="G47" s="79">
        <v>14.4</v>
      </c>
      <c r="H47" s="79">
        <v>10.8</v>
      </c>
      <c r="I47" s="79">
        <v>144.7</v>
      </c>
      <c r="J47" s="80">
        <v>61</v>
      </c>
      <c r="K47" s="79"/>
      <c r="L47" s="80">
        <v>11.9</v>
      </c>
      <c r="M47" s="79">
        <v>115</v>
      </c>
      <c r="N47" s="79"/>
      <c r="O47" s="81">
        <v>40</v>
      </c>
      <c r="P47" s="79"/>
      <c r="Q47" s="79"/>
      <c r="R47" s="79">
        <v>119.6</v>
      </c>
      <c r="S47" s="80">
        <v>2</v>
      </c>
      <c r="T47" s="80">
        <v>100.4</v>
      </c>
      <c r="U47" s="79"/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639.8</v>
      </c>
      <c r="AG47" s="72">
        <f>B47+C47-AF47</f>
        <v>1172.8</v>
      </c>
    </row>
    <row r="48" spans="1:33" ht="15.75">
      <c r="A48" s="3" t="s">
        <v>5</v>
      </c>
      <c r="B48" s="72">
        <v>36.3</v>
      </c>
      <c r="C48" s="72">
        <v>49.74999999999999</v>
      </c>
      <c r="D48" s="67"/>
      <c r="E48" s="79"/>
      <c r="F48" s="79"/>
      <c r="G48" s="79"/>
      <c r="H48" s="79"/>
      <c r="I48" s="79"/>
      <c r="J48" s="80"/>
      <c r="K48" s="79"/>
      <c r="L48" s="80"/>
      <c r="M48" s="79">
        <v>50</v>
      </c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50</v>
      </c>
      <c r="AG48" s="72">
        <f>B48+C48-AF48</f>
        <v>36.04999999999998</v>
      </c>
    </row>
    <row r="49" spans="1:33" ht="15.75">
      <c r="A49" s="3" t="s">
        <v>16</v>
      </c>
      <c r="B49" s="72">
        <f>615.6-461</f>
        <v>154.60000000000002</v>
      </c>
      <c r="C49" s="72">
        <v>937.1739000000001</v>
      </c>
      <c r="D49" s="67"/>
      <c r="E49" s="67"/>
      <c r="F49" s="67"/>
      <c r="G49" s="67">
        <v>14.4</v>
      </c>
      <c r="H49" s="67"/>
      <c r="I49" s="67">
        <v>139.5</v>
      </c>
      <c r="J49" s="72">
        <v>61</v>
      </c>
      <c r="K49" s="67"/>
      <c r="L49" s="72">
        <v>6</v>
      </c>
      <c r="M49" s="67">
        <v>59.8</v>
      </c>
      <c r="N49" s="67"/>
      <c r="O49" s="71">
        <v>40</v>
      </c>
      <c r="P49" s="67"/>
      <c r="Q49" s="67"/>
      <c r="R49" s="67">
        <f>111.1+2</f>
        <v>113.1</v>
      </c>
      <c r="S49" s="72">
        <v>2</v>
      </c>
      <c r="T49" s="72">
        <v>100.4</v>
      </c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536.1999999999999</v>
      </c>
      <c r="AG49" s="72">
        <f>B49+C49-AF49</f>
        <v>555.5739000000002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133.09999999999997</v>
      </c>
      <c r="C51" s="72">
        <v>501.6</v>
      </c>
      <c r="D51" s="67">
        <f aca="true" t="shared" si="10" ref="D51:AD51">D47-D48-D49</f>
        <v>0</v>
      </c>
      <c r="E51" s="67">
        <f t="shared" si="10"/>
        <v>20</v>
      </c>
      <c r="F51" s="67">
        <f t="shared" si="10"/>
        <v>0</v>
      </c>
      <c r="G51" s="67">
        <f t="shared" si="10"/>
        <v>0</v>
      </c>
      <c r="H51" s="67">
        <f t="shared" si="10"/>
        <v>10.8</v>
      </c>
      <c r="I51" s="67">
        <f t="shared" si="10"/>
        <v>5.199999999999989</v>
      </c>
      <c r="J51" s="72">
        <f t="shared" si="10"/>
        <v>0</v>
      </c>
      <c r="K51" s="67">
        <f t="shared" si="10"/>
        <v>0</v>
      </c>
      <c r="L51" s="72">
        <f t="shared" si="10"/>
        <v>5.9</v>
      </c>
      <c r="M51" s="67">
        <f t="shared" si="10"/>
        <v>5.200000000000003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6.5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53.59999999999999</v>
      </c>
      <c r="AG51" s="72">
        <f>AG47-AG49-AG48</f>
        <v>581.1760999999998</v>
      </c>
    </row>
    <row r="52" spans="1:33" ht="15" customHeight="1">
      <c r="A52" s="4" t="s">
        <v>0</v>
      </c>
      <c r="B52" s="72">
        <f>5846-29.7</f>
        <v>5816.3</v>
      </c>
      <c r="C52" s="72">
        <v>779.0622600000015</v>
      </c>
      <c r="D52" s="67"/>
      <c r="E52" s="67">
        <v>1273.5</v>
      </c>
      <c r="F52" s="67"/>
      <c r="G52" s="67">
        <v>114.8</v>
      </c>
      <c r="H52" s="67">
        <v>133.6</v>
      </c>
      <c r="I52" s="67">
        <v>430.4</v>
      </c>
      <c r="J52" s="72"/>
      <c r="K52" s="67"/>
      <c r="L52" s="72">
        <v>423.4</v>
      </c>
      <c r="M52" s="67"/>
      <c r="N52" s="67"/>
      <c r="O52" s="71"/>
      <c r="P52" s="67"/>
      <c r="Q52" s="67">
        <v>560.8</v>
      </c>
      <c r="R52" s="67"/>
      <c r="S52" s="72">
        <v>67.2</v>
      </c>
      <c r="T52" s="72">
        <v>114.2</v>
      </c>
      <c r="U52" s="72"/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3117.8999999999996</v>
      </c>
      <c r="AG52" s="72">
        <f aca="true" t="shared" si="11" ref="AG52:AG59">B52+C52-AF52</f>
        <v>3477.462260000002</v>
      </c>
    </row>
    <row r="53" spans="1:33" ht="15" customHeight="1">
      <c r="A53" s="3" t="s">
        <v>2</v>
      </c>
      <c r="B53" s="72">
        <v>1305.5</v>
      </c>
      <c r="C53" s="72">
        <v>3.5</v>
      </c>
      <c r="D53" s="67"/>
      <c r="E53" s="67">
        <v>1035.4</v>
      </c>
      <c r="F53" s="67"/>
      <c r="G53" s="67">
        <v>1.6</v>
      </c>
      <c r="H53" s="67"/>
      <c r="I53" s="67"/>
      <c r="J53" s="72"/>
      <c r="K53" s="67"/>
      <c r="L53" s="72"/>
      <c r="M53" s="67"/>
      <c r="N53" s="67"/>
      <c r="O53" s="71"/>
      <c r="P53" s="67"/>
      <c r="Q53" s="67">
        <v>1.4</v>
      </c>
      <c r="R53" s="67"/>
      <c r="S53" s="72">
        <v>37.3</v>
      </c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1075.7</v>
      </c>
      <c r="AG53" s="72">
        <f t="shared" si="11"/>
        <v>233.29999999999995</v>
      </c>
    </row>
    <row r="54" spans="1:34" ht="15" customHeight="1">
      <c r="A54" s="4" t="s">
        <v>9</v>
      </c>
      <c r="B54" s="111">
        <v>2155.9</v>
      </c>
      <c r="C54" s="72">
        <v>1044.3</v>
      </c>
      <c r="D54" s="67"/>
      <c r="E54" s="67"/>
      <c r="F54" s="67"/>
      <c r="G54" s="67">
        <v>633.7</v>
      </c>
      <c r="H54" s="67"/>
      <c r="I54" s="67"/>
      <c r="J54" s="72"/>
      <c r="K54" s="67"/>
      <c r="L54" s="72"/>
      <c r="M54" s="67">
        <v>388.8</v>
      </c>
      <c r="N54" s="67"/>
      <c r="O54" s="71">
        <v>276.2</v>
      </c>
      <c r="P54" s="67"/>
      <c r="Q54" s="71"/>
      <c r="R54" s="67">
        <v>42</v>
      </c>
      <c r="S54" s="72"/>
      <c r="T54" s="72"/>
      <c r="U54" s="72"/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1340.7</v>
      </c>
      <c r="AG54" s="72">
        <f t="shared" si="11"/>
        <v>1859.4999999999998</v>
      </c>
      <c r="AH54" s="6"/>
    </row>
    <row r="55" spans="1:34" ht="15.75">
      <c r="A55" s="3" t="s">
        <v>5</v>
      </c>
      <c r="B55" s="72">
        <v>993.6</v>
      </c>
      <c r="C55" s="72">
        <v>309.5</v>
      </c>
      <c r="D55" s="67"/>
      <c r="E55" s="67"/>
      <c r="F55" s="67"/>
      <c r="G55" s="67"/>
      <c r="H55" s="67"/>
      <c r="I55" s="67"/>
      <c r="J55" s="72"/>
      <c r="K55" s="67"/>
      <c r="L55" s="72"/>
      <c r="M55" s="67">
        <v>383.8</v>
      </c>
      <c r="N55" s="67"/>
      <c r="O55" s="71"/>
      <c r="P55" s="67"/>
      <c r="Q55" s="71"/>
      <c r="R55" s="67"/>
      <c r="S55" s="72"/>
      <c r="T55" s="72"/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383.8</v>
      </c>
      <c r="AG55" s="72">
        <f t="shared" si="11"/>
        <v>919.3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70">
        <v>291.6</v>
      </c>
      <c r="C57" s="72">
        <v>147.3</v>
      </c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>
        <v>80.1</v>
      </c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80.1</v>
      </c>
      <c r="AG57" s="72">
        <f t="shared" si="11"/>
        <v>358.80000000000007</v>
      </c>
    </row>
    <row r="58" spans="1:33" ht="15.75">
      <c r="A58" s="3" t="s">
        <v>16</v>
      </c>
      <c r="B58" s="70">
        <v>45.1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>
        <v>45.1</v>
      </c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45.1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825.6000000000001</v>
      </c>
      <c r="C60" s="72">
        <f t="shared" si="12"/>
        <v>587.5</v>
      </c>
      <c r="D60" s="67">
        <f t="shared" si="12"/>
        <v>0</v>
      </c>
      <c r="E60" s="67">
        <f>E54-E55-E57-E59-E56-E58</f>
        <v>0</v>
      </c>
      <c r="F60" s="67">
        <f t="shared" si="12"/>
        <v>0</v>
      </c>
      <c r="G60" s="67">
        <f t="shared" si="12"/>
        <v>633.7</v>
      </c>
      <c r="H60" s="67">
        <f t="shared" si="12"/>
        <v>0</v>
      </c>
      <c r="I60" s="67">
        <f t="shared" si="12"/>
        <v>0</v>
      </c>
      <c r="J60" s="72">
        <f t="shared" si="12"/>
        <v>0</v>
      </c>
      <c r="K60" s="67">
        <f t="shared" si="12"/>
        <v>0</v>
      </c>
      <c r="L60" s="72">
        <f t="shared" si="12"/>
        <v>0</v>
      </c>
      <c r="M60" s="67">
        <f t="shared" si="12"/>
        <v>5</v>
      </c>
      <c r="N60" s="67">
        <f t="shared" si="12"/>
        <v>0</v>
      </c>
      <c r="O60" s="67">
        <f t="shared" si="12"/>
        <v>151</v>
      </c>
      <c r="P60" s="67">
        <f t="shared" si="12"/>
        <v>0</v>
      </c>
      <c r="Q60" s="67">
        <f t="shared" si="12"/>
        <v>0</v>
      </c>
      <c r="R60" s="67">
        <f t="shared" si="12"/>
        <v>42</v>
      </c>
      <c r="S60" s="67">
        <f t="shared" si="12"/>
        <v>0</v>
      </c>
      <c r="T60" s="67">
        <f t="shared" si="12"/>
        <v>0</v>
      </c>
      <c r="U60" s="67">
        <f t="shared" si="12"/>
        <v>0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831.7</v>
      </c>
      <c r="AG60" s="72">
        <f>AG54-AG55-AG57-AG59-AG56-AG58</f>
        <v>581.3999999999997</v>
      </c>
    </row>
    <row r="61" spans="1:33" ht="15" customHeight="1">
      <c r="A61" s="4" t="s">
        <v>10</v>
      </c>
      <c r="B61" s="72">
        <v>236</v>
      </c>
      <c r="C61" s="72">
        <v>688.5</v>
      </c>
      <c r="D61" s="67"/>
      <c r="E61" s="67"/>
      <c r="F61" s="67"/>
      <c r="G61" s="67">
        <v>13.7</v>
      </c>
      <c r="H61" s="67">
        <v>46.4</v>
      </c>
      <c r="I61" s="67"/>
      <c r="J61" s="72"/>
      <c r="K61" s="67"/>
      <c r="L61" s="72">
        <v>0.8</v>
      </c>
      <c r="M61" s="67"/>
      <c r="N61" s="67"/>
      <c r="O61" s="71"/>
      <c r="P61" s="67"/>
      <c r="Q61" s="71"/>
      <c r="R61" s="67">
        <v>12.3</v>
      </c>
      <c r="S61" s="72"/>
      <c r="T61" s="72">
        <v>4.5</v>
      </c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77.69999999999999</v>
      </c>
      <c r="AG61" s="72">
        <f aca="true" t="shared" si="14" ref="AG61:AG67">B61+C61-AF61</f>
        <v>846.8</v>
      </c>
    </row>
    <row r="62" spans="1:33" s="18" customFormat="1" ht="15" customHeight="1">
      <c r="A62" s="108" t="s">
        <v>11</v>
      </c>
      <c r="B62" s="72">
        <v>3465</v>
      </c>
      <c r="C62" s="72">
        <v>4669.9</v>
      </c>
      <c r="D62" s="72"/>
      <c r="E62" s="72"/>
      <c r="F62" s="72"/>
      <c r="G62" s="72">
        <v>75.1</v>
      </c>
      <c r="H62" s="72">
        <v>1.7</v>
      </c>
      <c r="I62" s="72">
        <v>39.2</v>
      </c>
      <c r="J62" s="72"/>
      <c r="K62" s="72">
        <v>53.8</v>
      </c>
      <c r="L62" s="72">
        <v>879.3</v>
      </c>
      <c r="M62" s="72">
        <v>100</v>
      </c>
      <c r="N62" s="72"/>
      <c r="O62" s="72">
        <v>161.1</v>
      </c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1310.1999999999998</v>
      </c>
      <c r="AG62" s="72">
        <f t="shared" si="14"/>
        <v>6824.7</v>
      </c>
    </row>
    <row r="63" spans="1:34" ht="15.75">
      <c r="A63" s="3" t="s">
        <v>5</v>
      </c>
      <c r="B63" s="72">
        <v>1913.6</v>
      </c>
      <c r="C63" s="72">
        <v>1185.4</v>
      </c>
      <c r="D63" s="67"/>
      <c r="E63" s="67"/>
      <c r="F63" s="67"/>
      <c r="G63" s="67"/>
      <c r="H63" s="67"/>
      <c r="I63" s="67"/>
      <c r="J63" s="72"/>
      <c r="K63" s="67"/>
      <c r="L63" s="72">
        <v>818.5</v>
      </c>
      <c r="M63" s="67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818.5</v>
      </c>
      <c r="AG63" s="72">
        <f t="shared" si="14"/>
        <v>2280.5</v>
      </c>
      <c r="AH63" s="121"/>
    </row>
    <row r="64" spans="1:34" ht="15.75">
      <c r="A64" s="3" t="s">
        <v>3</v>
      </c>
      <c r="B64" s="72">
        <v>4.6</v>
      </c>
      <c r="C64" s="72">
        <v>9.7</v>
      </c>
      <c r="D64" s="67"/>
      <c r="E64" s="67"/>
      <c r="F64" s="67"/>
      <c r="G64" s="67">
        <v>1.7</v>
      </c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1.7</v>
      </c>
      <c r="AG64" s="72">
        <f t="shared" si="14"/>
        <v>12.6</v>
      </c>
      <c r="AH64" s="6"/>
    </row>
    <row r="65" spans="1:34" ht="15.75">
      <c r="A65" s="3" t="s">
        <v>1</v>
      </c>
      <c r="B65" s="72">
        <v>155.1</v>
      </c>
      <c r="C65" s="72">
        <v>143.1</v>
      </c>
      <c r="D65" s="67"/>
      <c r="E65" s="67"/>
      <c r="F65" s="67"/>
      <c r="G65" s="67">
        <v>26.7</v>
      </c>
      <c r="H65" s="67"/>
      <c r="I65" s="67"/>
      <c r="J65" s="72"/>
      <c r="K65" s="67">
        <v>2.5</v>
      </c>
      <c r="L65" s="72"/>
      <c r="M65" s="67"/>
      <c r="N65" s="67"/>
      <c r="O65" s="71">
        <v>28.1</v>
      </c>
      <c r="P65" s="67"/>
      <c r="Q65" s="71"/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57.3</v>
      </c>
      <c r="AG65" s="72">
        <f t="shared" si="14"/>
        <v>240.89999999999998</v>
      </c>
      <c r="AH65" s="6"/>
    </row>
    <row r="66" spans="1:33" ht="15.75">
      <c r="A66" s="3" t="s">
        <v>2</v>
      </c>
      <c r="B66" s="72">
        <v>186</v>
      </c>
      <c r="C66" s="72">
        <v>353</v>
      </c>
      <c r="D66" s="67"/>
      <c r="E66" s="67"/>
      <c r="F66" s="67"/>
      <c r="G66" s="67">
        <v>3</v>
      </c>
      <c r="H66" s="67"/>
      <c r="I66" s="67"/>
      <c r="J66" s="72"/>
      <c r="K66" s="67">
        <v>2.8</v>
      </c>
      <c r="L66" s="72"/>
      <c r="M66" s="67"/>
      <c r="N66" s="67"/>
      <c r="O66" s="71">
        <v>40.5</v>
      </c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46.3</v>
      </c>
      <c r="AG66" s="72">
        <f t="shared" si="14"/>
        <v>492.7</v>
      </c>
    </row>
    <row r="67" spans="1:33" ht="15.75">
      <c r="A67" s="3" t="s">
        <v>16</v>
      </c>
      <c r="B67" s="72">
        <v>110</v>
      </c>
      <c r="C67" s="72">
        <v>4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0</v>
      </c>
      <c r="AG67" s="72">
        <f t="shared" si="14"/>
        <v>114</v>
      </c>
    </row>
    <row r="68" spans="1:33" ht="15.75">
      <c r="A68" s="3" t="s">
        <v>23</v>
      </c>
      <c r="B68" s="72">
        <f>B62-B63-B66-B67-B65-B64</f>
        <v>1095.7000000000003</v>
      </c>
      <c r="C68" s="72">
        <f>C62-C63-C66-C67-C65-C64</f>
        <v>2974.7</v>
      </c>
      <c r="D68" s="67">
        <f aca="true" t="shared" si="15" ref="D68:AD68">D62-D63-D66-D67-D65-D64</f>
        <v>0</v>
      </c>
      <c r="E68" s="67">
        <f t="shared" si="15"/>
        <v>0</v>
      </c>
      <c r="F68" s="67">
        <f t="shared" si="15"/>
        <v>0</v>
      </c>
      <c r="G68" s="67">
        <f t="shared" si="15"/>
        <v>43.69999999999999</v>
      </c>
      <c r="H68" s="67">
        <f t="shared" si="15"/>
        <v>1.7</v>
      </c>
      <c r="I68" s="67">
        <f t="shared" si="15"/>
        <v>39.2</v>
      </c>
      <c r="J68" s="72">
        <f t="shared" si="15"/>
        <v>0</v>
      </c>
      <c r="K68" s="67">
        <f t="shared" si="15"/>
        <v>48.5</v>
      </c>
      <c r="L68" s="72">
        <f t="shared" si="15"/>
        <v>60.799999999999955</v>
      </c>
      <c r="M68" s="67">
        <f t="shared" si="15"/>
        <v>100</v>
      </c>
      <c r="N68" s="67">
        <f t="shared" si="15"/>
        <v>0</v>
      </c>
      <c r="O68" s="67">
        <f t="shared" si="15"/>
        <v>92.5</v>
      </c>
      <c r="P68" s="67">
        <f t="shared" si="15"/>
        <v>0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386.4</v>
      </c>
      <c r="AG68" s="72">
        <f>AG62-AG63-AG66-AG67-AG65-AG64</f>
        <v>3684</v>
      </c>
    </row>
    <row r="69" spans="1:33" ht="31.5">
      <c r="A69" s="4" t="s">
        <v>45</v>
      </c>
      <c r="B69" s="72">
        <f>5307.7-567.1</f>
        <v>4740.599999999999</v>
      </c>
      <c r="C69" s="72">
        <v>57.73899999999867</v>
      </c>
      <c r="D69" s="67">
        <v>1361.8</v>
      </c>
      <c r="E69" s="67"/>
      <c r="F69" s="67"/>
      <c r="G69" s="67">
        <v>439.6</v>
      </c>
      <c r="H69" s="67"/>
      <c r="I69" s="67"/>
      <c r="J69" s="72"/>
      <c r="K69" s="67"/>
      <c r="L69" s="72"/>
      <c r="M69" s="67"/>
      <c r="N69" s="67"/>
      <c r="O69" s="67"/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1801.4</v>
      </c>
      <c r="AG69" s="130">
        <f aca="true" t="shared" si="16" ref="AG69:AG92">B69+C69-AF69</f>
        <v>2996.938999999998</v>
      </c>
    </row>
    <row r="70" spans="1:33" ht="15.75" hidden="1">
      <c r="A70" s="4" t="s">
        <v>32</v>
      </c>
      <c r="B70" s="72"/>
      <c r="C70" s="72"/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f>1964.2+29.5</f>
        <v>1993.7</v>
      </c>
      <c r="C71" s="80">
        <v>422.8</v>
      </c>
      <c r="D71" s="79"/>
      <c r="E71" s="79"/>
      <c r="F71" s="79"/>
      <c r="G71" s="79">
        <v>554.9</v>
      </c>
      <c r="H71" s="79"/>
      <c r="I71" s="79"/>
      <c r="J71" s="80"/>
      <c r="K71" s="79"/>
      <c r="L71" s="80">
        <v>554.9</v>
      </c>
      <c r="M71" s="79"/>
      <c r="N71" s="79"/>
      <c r="O71" s="79"/>
      <c r="P71" s="79"/>
      <c r="Q71" s="81">
        <v>58.4</v>
      </c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1168.2</v>
      </c>
      <c r="AG71" s="130">
        <f t="shared" si="16"/>
        <v>1248.3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v>1444.7</v>
      </c>
      <c r="C72" s="72">
        <v>4064.7</v>
      </c>
      <c r="D72" s="67"/>
      <c r="E72" s="67">
        <v>149.8</v>
      </c>
      <c r="F72" s="67">
        <v>5.4</v>
      </c>
      <c r="G72" s="67">
        <v>16.9</v>
      </c>
      <c r="H72" s="67">
        <v>150.8</v>
      </c>
      <c r="I72" s="67">
        <v>14.3</v>
      </c>
      <c r="J72" s="72"/>
      <c r="K72" s="67"/>
      <c r="L72" s="72">
        <v>38.8</v>
      </c>
      <c r="M72" s="67">
        <v>0.9</v>
      </c>
      <c r="N72" s="67"/>
      <c r="O72" s="67">
        <f>103-40.5</f>
        <v>62.5</v>
      </c>
      <c r="P72" s="67">
        <v>11</v>
      </c>
      <c r="Q72" s="71">
        <v>35.5</v>
      </c>
      <c r="R72" s="67"/>
      <c r="S72" s="72">
        <v>25</v>
      </c>
      <c r="T72" s="72">
        <v>4.4</v>
      </c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515.3000000000001</v>
      </c>
      <c r="AG72" s="130">
        <f t="shared" si="16"/>
        <v>4994.099999999999</v>
      </c>
      <c r="AH72" s="86">
        <f>AG72+AG69+AG76+AG91+AG83+AG88</f>
        <v>9922.338999999996</v>
      </c>
    </row>
    <row r="73" spans="1:33" ht="15" customHeight="1">
      <c r="A73" s="3" t="s">
        <v>5</v>
      </c>
      <c r="B73" s="72">
        <v>45.4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45.4</v>
      </c>
    </row>
    <row r="74" spans="1:33" ht="15" customHeight="1">
      <c r="A74" s="3" t="s">
        <v>2</v>
      </c>
      <c r="B74" s="72">
        <v>313.1</v>
      </c>
      <c r="C74" s="72">
        <v>734.9</v>
      </c>
      <c r="D74" s="67"/>
      <c r="E74" s="67">
        <v>38.7</v>
      </c>
      <c r="F74" s="67"/>
      <c r="G74" s="67"/>
      <c r="H74" s="67"/>
      <c r="I74" s="67">
        <v>4</v>
      </c>
      <c r="J74" s="72"/>
      <c r="K74" s="67"/>
      <c r="L74" s="72">
        <v>24</v>
      </c>
      <c r="M74" s="67"/>
      <c r="N74" s="67"/>
      <c r="O74" s="67">
        <v>3.5</v>
      </c>
      <c r="P74" s="67"/>
      <c r="Q74" s="71"/>
      <c r="R74" s="67"/>
      <c r="S74" s="72">
        <v>14.9</v>
      </c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85.10000000000001</v>
      </c>
      <c r="AG74" s="130">
        <f t="shared" si="16"/>
        <v>962.9</v>
      </c>
    </row>
    <row r="75" spans="1:33" ht="15" customHeight="1">
      <c r="A75" s="3" t="s">
        <v>16</v>
      </c>
      <c r="B75" s="72">
        <v>23.2</v>
      </c>
      <c r="C75" s="72">
        <v>408.5</v>
      </c>
      <c r="D75" s="67"/>
      <c r="E75" s="67"/>
      <c r="F75" s="67"/>
      <c r="G75" s="67"/>
      <c r="H75" s="67">
        <v>150.5</v>
      </c>
      <c r="I75" s="67"/>
      <c r="J75" s="72"/>
      <c r="K75" s="67"/>
      <c r="L75" s="72">
        <v>2.2</v>
      </c>
      <c r="M75" s="67"/>
      <c r="N75" s="67"/>
      <c r="O75" s="67"/>
      <c r="P75" s="67"/>
      <c r="Q75" s="71">
        <v>3.8</v>
      </c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156.5</v>
      </c>
      <c r="AG75" s="130">
        <f t="shared" si="16"/>
        <v>275.2</v>
      </c>
    </row>
    <row r="76" spans="1:35" s="11" customFormat="1" ht="15.75">
      <c r="A76" s="12" t="s">
        <v>48</v>
      </c>
      <c r="B76" s="72">
        <v>217</v>
      </c>
      <c r="C76" s="72">
        <v>24.1</v>
      </c>
      <c r="D76" s="67"/>
      <c r="E76" s="79"/>
      <c r="F76" s="79">
        <v>12.7</v>
      </c>
      <c r="G76" s="79"/>
      <c r="H76" s="79"/>
      <c r="I76" s="79"/>
      <c r="J76" s="80"/>
      <c r="K76" s="79"/>
      <c r="L76" s="80"/>
      <c r="M76" s="79"/>
      <c r="N76" s="79"/>
      <c r="O76" s="79">
        <v>40.5</v>
      </c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53.2</v>
      </c>
      <c r="AG76" s="130">
        <f t="shared" si="16"/>
        <v>187.89999999999998</v>
      </c>
      <c r="AI76" s="128"/>
    </row>
    <row r="77" spans="1:33" s="11" customFormat="1" ht="15.75">
      <c r="A77" s="3" t="s">
        <v>5</v>
      </c>
      <c r="B77" s="72">
        <v>109.6</v>
      </c>
      <c r="C77" s="72">
        <v>4.4</v>
      </c>
      <c r="D77" s="67"/>
      <c r="E77" s="79"/>
      <c r="F77" s="79">
        <v>11.7</v>
      </c>
      <c r="G77" s="79"/>
      <c r="H77" s="79"/>
      <c r="I77" s="79"/>
      <c r="J77" s="80"/>
      <c r="K77" s="79"/>
      <c r="L77" s="80"/>
      <c r="M77" s="79"/>
      <c r="N77" s="79"/>
      <c r="O77" s="79">
        <v>38.4</v>
      </c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50.099999999999994</v>
      </c>
      <c r="AG77" s="130">
        <f t="shared" si="16"/>
        <v>63.900000000000006</v>
      </c>
    </row>
    <row r="78" spans="1:33" s="11" customFormat="1" ht="15.75" hidden="1">
      <c r="A78" s="3" t="s">
        <v>3</v>
      </c>
      <c r="B78" s="72"/>
      <c r="C78" s="72"/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/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3.8</v>
      </c>
      <c r="C80" s="72">
        <v>11.5</v>
      </c>
      <c r="D80" s="67"/>
      <c r="E80" s="79"/>
      <c r="F80" s="79">
        <v>1</v>
      </c>
      <c r="G80" s="79"/>
      <c r="H80" s="79"/>
      <c r="I80" s="79"/>
      <c r="J80" s="80"/>
      <c r="K80" s="79"/>
      <c r="L80" s="80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1</v>
      </c>
      <c r="AG80" s="130">
        <f t="shared" si="16"/>
        <v>14.3</v>
      </c>
    </row>
    <row r="81" spans="1:33" s="11" customFormat="1" ht="15.7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/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/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/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/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/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>
        <v>90</v>
      </c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90</v>
      </c>
      <c r="AG88" s="72">
        <f t="shared" si="16"/>
        <v>0</v>
      </c>
      <c r="AH88" s="11"/>
    </row>
    <row r="89" spans="1:35" ht="15.75">
      <c r="A89" s="4" t="s">
        <v>50</v>
      </c>
      <c r="B89" s="72">
        <f>1855.9+14000+1552.3</f>
        <v>17408.2</v>
      </c>
      <c r="C89" s="72">
        <v>846.7</v>
      </c>
      <c r="D89" s="67"/>
      <c r="E89" s="67">
        <f>978.5+1505.4</f>
        <v>2483.9</v>
      </c>
      <c r="F89" s="67"/>
      <c r="G89" s="67"/>
      <c r="H89" s="67"/>
      <c r="I89" s="67"/>
      <c r="J89" s="72"/>
      <c r="K89" s="67"/>
      <c r="L89" s="72"/>
      <c r="M89" s="67"/>
      <c r="N89" s="67"/>
      <c r="O89" s="67"/>
      <c r="P89" s="67"/>
      <c r="Q89" s="67">
        <v>190.6</v>
      </c>
      <c r="R89" s="67">
        <v>57.7</v>
      </c>
      <c r="S89" s="72">
        <v>719.7</v>
      </c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3451.8999999999996</v>
      </c>
      <c r="AG89" s="72">
        <f t="shared" si="16"/>
        <v>14803.000000000002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72">
        <v>1173.1</v>
      </c>
      <c r="K90" s="67"/>
      <c r="L90" s="72"/>
      <c r="M90" s="67"/>
      <c r="N90" s="67"/>
      <c r="O90" s="67"/>
      <c r="P90" s="67"/>
      <c r="Q90" s="67"/>
      <c r="R90" s="67">
        <v>1173.1</v>
      </c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2346.2</v>
      </c>
      <c r="AG90" s="72">
        <f t="shared" si="16"/>
        <v>1173.1000000000004</v>
      </c>
      <c r="AH90" s="11"/>
    </row>
    <row r="91" spans="1:34" ht="15.75">
      <c r="A91" s="4" t="s">
        <v>25</v>
      </c>
      <c r="B91" s="72">
        <v>616.7</v>
      </c>
      <c r="C91" s="72">
        <v>1126.7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1743.4</v>
      </c>
      <c r="AH91" s="11"/>
    </row>
    <row r="92" spans="1:34" ht="15.75">
      <c r="A92" s="4" t="s">
        <v>37</v>
      </c>
      <c r="B92" s="72">
        <v>24758.8</v>
      </c>
      <c r="C92" s="72">
        <v>42992.4</v>
      </c>
      <c r="D92" s="67"/>
      <c r="E92" s="67">
        <v>4291.7</v>
      </c>
      <c r="F92" s="67">
        <v>2988.5</v>
      </c>
      <c r="G92" s="67">
        <v>1996.3</v>
      </c>
      <c r="H92" s="67">
        <v>603.4</v>
      </c>
      <c r="I92" s="67">
        <v>1245.5</v>
      </c>
      <c r="J92" s="72">
        <v>1538.1</v>
      </c>
      <c r="K92" s="67">
        <v>1459</v>
      </c>
      <c r="L92" s="72">
        <v>3109.9</v>
      </c>
      <c r="M92" s="67">
        <v>1096.7</v>
      </c>
      <c r="N92" s="67"/>
      <c r="O92" s="67">
        <v>5444.8</v>
      </c>
      <c r="P92" s="67">
        <v>607.4</v>
      </c>
      <c r="Q92" s="67">
        <v>873.6</v>
      </c>
      <c r="R92" s="67">
        <v>582</v>
      </c>
      <c r="S92" s="72">
        <v>324.6</v>
      </c>
      <c r="T92" s="72">
        <v>82.5</v>
      </c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26244</v>
      </c>
      <c r="AG92" s="72">
        <f t="shared" si="16"/>
        <v>41507.2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186469.90000000002</v>
      </c>
      <c r="C94" s="132">
        <f t="shared" si="17"/>
        <v>111831.22225999998</v>
      </c>
      <c r="D94" s="83">
        <f t="shared" si="17"/>
        <v>1534.5</v>
      </c>
      <c r="E94" s="83">
        <f t="shared" si="17"/>
        <v>8357.7</v>
      </c>
      <c r="F94" s="83">
        <f t="shared" si="17"/>
        <v>3845.3</v>
      </c>
      <c r="G94" s="83">
        <f t="shared" si="17"/>
        <v>4135.3</v>
      </c>
      <c r="H94" s="83">
        <f t="shared" si="17"/>
        <v>2418.7</v>
      </c>
      <c r="I94" s="83">
        <f t="shared" si="17"/>
        <v>1906.9</v>
      </c>
      <c r="J94" s="132">
        <f t="shared" si="17"/>
        <v>5510.5</v>
      </c>
      <c r="K94" s="83">
        <f t="shared" si="17"/>
        <v>7219.3</v>
      </c>
      <c r="L94" s="132">
        <f t="shared" si="17"/>
        <v>38218.500000000015</v>
      </c>
      <c r="M94" s="83">
        <f t="shared" si="17"/>
        <v>5552.799999999999</v>
      </c>
      <c r="N94" s="83">
        <f t="shared" si="17"/>
        <v>0</v>
      </c>
      <c r="O94" s="83">
        <f t="shared" si="17"/>
        <v>6159.2</v>
      </c>
      <c r="P94" s="83">
        <f t="shared" si="17"/>
        <v>3470.0000000000005</v>
      </c>
      <c r="Q94" s="83">
        <f t="shared" si="17"/>
        <v>1906.1999999999998</v>
      </c>
      <c r="R94" s="83">
        <f t="shared" si="17"/>
        <v>3636.1</v>
      </c>
      <c r="S94" s="83">
        <f t="shared" si="17"/>
        <v>2155.3</v>
      </c>
      <c r="T94" s="83">
        <f t="shared" si="17"/>
        <v>412.9</v>
      </c>
      <c r="U94" s="83">
        <f t="shared" si="17"/>
        <v>0</v>
      </c>
      <c r="V94" s="83">
        <f t="shared" si="17"/>
        <v>0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96439.19999999998</v>
      </c>
      <c r="AG94" s="84">
        <f>AG10+AG15+AG24+AG33+AG47+AG52+AG54+AG61+AG62+AG69+AG71+AG72+AG76+AG81+AG82+AG83+AG88+AG89+AG90+AG91+AG70+AG40+AG92</f>
        <v>201861.92225999996</v>
      </c>
    </row>
    <row r="95" spans="1:33" ht="15.75">
      <c r="A95" s="3" t="s">
        <v>5</v>
      </c>
      <c r="B95" s="22">
        <f>B11+B17+B26+B34+B55+B63+B73+B41+B77+B48</f>
        <v>70562.40000000001</v>
      </c>
      <c r="C95" s="109">
        <f aca="true" t="shared" si="18" ref="C95:AD95">C11+C17+C26+C34+C55+C63+C73+C41+C77+C48</f>
        <v>20642.15</v>
      </c>
      <c r="D95" s="67">
        <f t="shared" si="18"/>
        <v>0</v>
      </c>
      <c r="E95" s="67">
        <f t="shared" si="18"/>
        <v>47.7</v>
      </c>
      <c r="F95" s="67">
        <f t="shared" si="18"/>
        <v>250.6</v>
      </c>
      <c r="G95" s="67">
        <f t="shared" si="18"/>
        <v>59.5</v>
      </c>
      <c r="H95" s="67">
        <f t="shared" si="18"/>
        <v>0</v>
      </c>
      <c r="I95" s="67">
        <f t="shared" si="18"/>
        <v>32.1</v>
      </c>
      <c r="J95" s="72">
        <f t="shared" si="18"/>
        <v>0.5</v>
      </c>
      <c r="K95" s="67">
        <f t="shared" si="18"/>
        <v>370.7</v>
      </c>
      <c r="L95" s="72">
        <f t="shared" si="18"/>
        <v>24112.8</v>
      </c>
      <c r="M95" s="67">
        <f t="shared" si="18"/>
        <v>3631.4</v>
      </c>
      <c r="N95" s="67">
        <f t="shared" si="18"/>
        <v>0</v>
      </c>
      <c r="O95" s="67">
        <f t="shared" si="18"/>
        <v>109.80000000000001</v>
      </c>
      <c r="P95" s="67">
        <f t="shared" si="18"/>
        <v>0</v>
      </c>
      <c r="Q95" s="67">
        <f t="shared" si="18"/>
        <v>2.6</v>
      </c>
      <c r="R95" s="67">
        <f t="shared" si="18"/>
        <v>6.3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28623.999999999996</v>
      </c>
      <c r="AG95" s="71">
        <f>B95+C95-AF95</f>
        <v>62580.55000000002</v>
      </c>
    </row>
    <row r="96" spans="1:33" ht="15.75">
      <c r="A96" s="3" t="s">
        <v>2</v>
      </c>
      <c r="B96" s="22">
        <f aca="true" t="shared" si="19" ref="B96:AD96">B12+B20+B29+B36+B57+B66+B44+B80+B74+B53</f>
        <v>15612.2</v>
      </c>
      <c r="C96" s="109">
        <f t="shared" si="19"/>
        <v>7152.1</v>
      </c>
      <c r="D96" s="67">
        <f t="shared" si="19"/>
        <v>0</v>
      </c>
      <c r="E96" s="67">
        <f t="shared" si="19"/>
        <v>1077.5</v>
      </c>
      <c r="F96" s="67">
        <f t="shared" si="19"/>
        <v>232</v>
      </c>
      <c r="G96" s="67">
        <f t="shared" si="19"/>
        <v>24.8</v>
      </c>
      <c r="H96" s="67">
        <f t="shared" si="19"/>
        <v>849.6</v>
      </c>
      <c r="I96" s="67">
        <f t="shared" si="19"/>
        <v>4</v>
      </c>
      <c r="J96" s="72">
        <f t="shared" si="19"/>
        <v>0</v>
      </c>
      <c r="K96" s="67">
        <f t="shared" si="19"/>
        <v>1747.3999999999999</v>
      </c>
      <c r="L96" s="72">
        <f t="shared" si="19"/>
        <v>273.20000000000005</v>
      </c>
      <c r="M96" s="67">
        <f t="shared" si="19"/>
        <v>0</v>
      </c>
      <c r="N96" s="67">
        <f t="shared" si="19"/>
        <v>0</v>
      </c>
      <c r="O96" s="67">
        <f t="shared" si="19"/>
        <v>125.69999999999999</v>
      </c>
      <c r="P96" s="67">
        <f t="shared" si="19"/>
        <v>552.6</v>
      </c>
      <c r="Q96" s="67">
        <f t="shared" si="19"/>
        <v>15.600000000000001</v>
      </c>
      <c r="R96" s="67">
        <f t="shared" si="19"/>
        <v>551.8</v>
      </c>
      <c r="S96" s="67">
        <f t="shared" si="19"/>
        <v>452.3</v>
      </c>
      <c r="T96" s="67">
        <f t="shared" si="19"/>
        <v>27.1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5933.600000000001</v>
      </c>
      <c r="AG96" s="71">
        <f>B96+C96-AF96</f>
        <v>16830.7</v>
      </c>
    </row>
    <row r="97" spans="1:33" ht="15.75">
      <c r="A97" s="3" t="s">
        <v>3</v>
      </c>
      <c r="B97" s="22">
        <f aca="true" t="shared" si="20" ref="B97:AA97">B18+B27+B42+B64+B78</f>
        <v>5.3</v>
      </c>
      <c r="C97" s="109">
        <f t="shared" si="20"/>
        <v>64.8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1.7</v>
      </c>
      <c r="H97" s="67">
        <f t="shared" si="20"/>
        <v>1.4</v>
      </c>
      <c r="I97" s="67">
        <f t="shared" si="20"/>
        <v>0</v>
      </c>
      <c r="J97" s="72">
        <f t="shared" si="20"/>
        <v>2</v>
      </c>
      <c r="K97" s="67">
        <f t="shared" si="20"/>
        <v>0.9</v>
      </c>
      <c r="L97" s="72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5.2</v>
      </c>
      <c r="Q97" s="67">
        <f t="shared" si="20"/>
        <v>0</v>
      </c>
      <c r="R97" s="67">
        <f t="shared" si="20"/>
        <v>0</v>
      </c>
      <c r="S97" s="67">
        <f t="shared" si="20"/>
        <v>1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12.2</v>
      </c>
      <c r="AG97" s="71">
        <f>B97+C97-AF97</f>
        <v>57.89999999999999</v>
      </c>
    </row>
    <row r="98" spans="1:33" ht="15.75">
      <c r="A98" s="3" t="s">
        <v>1</v>
      </c>
      <c r="B98" s="22">
        <f aca="true" t="shared" si="21" ref="B98:AD98">B19+B28+B65+B35+B43+B56+B79</f>
        <v>4106.1</v>
      </c>
      <c r="C98" s="109">
        <f t="shared" si="21"/>
        <v>4773.900000000001</v>
      </c>
      <c r="D98" s="67">
        <f t="shared" si="21"/>
        <v>0</v>
      </c>
      <c r="E98" s="67">
        <f t="shared" si="21"/>
        <v>0</v>
      </c>
      <c r="F98" s="67">
        <f t="shared" si="21"/>
        <v>302.2</v>
      </c>
      <c r="G98" s="67">
        <f t="shared" si="21"/>
        <v>26.7</v>
      </c>
      <c r="H98" s="67">
        <f t="shared" si="21"/>
        <v>523.8</v>
      </c>
      <c r="I98" s="67">
        <f t="shared" si="21"/>
        <v>0</v>
      </c>
      <c r="J98" s="72">
        <f t="shared" si="21"/>
        <v>626.1</v>
      </c>
      <c r="K98" s="67">
        <f t="shared" si="21"/>
        <v>9.7</v>
      </c>
      <c r="L98" s="72">
        <f t="shared" si="21"/>
        <v>49.5</v>
      </c>
      <c r="M98" s="67">
        <f t="shared" si="21"/>
        <v>625.4</v>
      </c>
      <c r="N98" s="67">
        <f t="shared" si="21"/>
        <v>0</v>
      </c>
      <c r="O98" s="67">
        <f t="shared" si="21"/>
        <v>28.1</v>
      </c>
      <c r="P98" s="67">
        <f t="shared" si="21"/>
        <v>172.1</v>
      </c>
      <c r="Q98" s="67">
        <f t="shared" si="21"/>
        <v>0</v>
      </c>
      <c r="R98" s="67">
        <f t="shared" si="21"/>
        <v>511.6</v>
      </c>
      <c r="S98" s="67">
        <f t="shared" si="21"/>
        <v>224.9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3100.1</v>
      </c>
      <c r="AG98" s="71">
        <f>B98+C98-AF98</f>
        <v>5779.9</v>
      </c>
    </row>
    <row r="99" spans="1:33" ht="15.75">
      <c r="A99" s="3" t="s">
        <v>16</v>
      </c>
      <c r="B99" s="22">
        <f aca="true" t="shared" si="22" ref="B99:X99">B21+B30+B49+B37+B58+B13+B75+B67</f>
        <v>1451.3</v>
      </c>
      <c r="C99" s="109">
        <f t="shared" si="22"/>
        <v>3182.1739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14.4</v>
      </c>
      <c r="H99" s="67">
        <f t="shared" si="22"/>
        <v>150.5</v>
      </c>
      <c r="I99" s="67">
        <f t="shared" si="22"/>
        <v>139.5</v>
      </c>
      <c r="J99" s="72">
        <f t="shared" si="22"/>
        <v>273.4</v>
      </c>
      <c r="K99" s="67">
        <f t="shared" si="22"/>
        <v>42</v>
      </c>
      <c r="L99" s="72">
        <f t="shared" si="22"/>
        <v>8.2</v>
      </c>
      <c r="M99" s="67">
        <f t="shared" si="22"/>
        <v>59.8</v>
      </c>
      <c r="N99" s="67">
        <f t="shared" si="22"/>
        <v>0</v>
      </c>
      <c r="O99" s="67">
        <f t="shared" si="22"/>
        <v>85.1</v>
      </c>
      <c r="P99" s="67">
        <f t="shared" si="22"/>
        <v>209.4</v>
      </c>
      <c r="Q99" s="67">
        <f t="shared" si="22"/>
        <v>3.8</v>
      </c>
      <c r="R99" s="67">
        <f t="shared" si="22"/>
        <v>113.1</v>
      </c>
      <c r="S99" s="67">
        <f t="shared" si="22"/>
        <v>357</v>
      </c>
      <c r="T99" s="67">
        <f t="shared" si="22"/>
        <v>100.4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1556.6</v>
      </c>
      <c r="AG99" s="71">
        <f>B99+C99-AF99</f>
        <v>3076.8739</v>
      </c>
    </row>
    <row r="100" spans="1:33" ht="12.75">
      <c r="A100" s="1" t="s">
        <v>35</v>
      </c>
      <c r="B100" s="2">
        <f aca="true" t="shared" si="24" ref="B100:AD100">B94-B95-B96-B97-B98-B99</f>
        <v>94732.6</v>
      </c>
      <c r="C100" s="20">
        <f t="shared" si="24"/>
        <v>76016.09835999999</v>
      </c>
      <c r="D100" s="85">
        <f t="shared" si="24"/>
        <v>1534.5</v>
      </c>
      <c r="E100" s="85">
        <f t="shared" si="24"/>
        <v>7232.5</v>
      </c>
      <c r="F100" s="85">
        <f t="shared" si="24"/>
        <v>3060.5000000000005</v>
      </c>
      <c r="G100" s="85">
        <f t="shared" si="24"/>
        <v>4008.2000000000003</v>
      </c>
      <c r="H100" s="85">
        <f t="shared" si="24"/>
        <v>893.3999999999999</v>
      </c>
      <c r="I100" s="85">
        <f t="shared" si="24"/>
        <v>1731.3000000000002</v>
      </c>
      <c r="J100" s="131">
        <f t="shared" si="24"/>
        <v>4608.5</v>
      </c>
      <c r="K100" s="85">
        <f t="shared" si="24"/>
        <v>5048.600000000001</v>
      </c>
      <c r="L100" s="131">
        <f t="shared" si="24"/>
        <v>13774.800000000014</v>
      </c>
      <c r="M100" s="85">
        <f t="shared" si="24"/>
        <v>1236.1999999999991</v>
      </c>
      <c r="N100" s="85">
        <f t="shared" si="24"/>
        <v>0</v>
      </c>
      <c r="O100" s="85">
        <f t="shared" si="24"/>
        <v>5810.499999999999</v>
      </c>
      <c r="P100" s="85">
        <f t="shared" si="24"/>
        <v>2530.7000000000007</v>
      </c>
      <c r="Q100" s="85">
        <f t="shared" si="24"/>
        <v>1884.2</v>
      </c>
      <c r="R100" s="85">
        <f t="shared" si="24"/>
        <v>2453.3</v>
      </c>
      <c r="S100" s="85">
        <f t="shared" si="24"/>
        <v>1120.1000000000001</v>
      </c>
      <c r="T100" s="85">
        <f t="shared" si="24"/>
        <v>285.4</v>
      </c>
      <c r="U100" s="85">
        <f t="shared" si="24"/>
        <v>0</v>
      </c>
      <c r="V100" s="85">
        <f t="shared" si="24"/>
        <v>0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57212.69999999999</v>
      </c>
      <c r="AG100" s="85">
        <f>AG94-AG95-AG96-AG97-AG98-AG99</f>
        <v>113535.99835999995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2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32" right="0.17" top="0.26" bottom="0.3" header="0.19" footer="0.3"/>
  <pageSetup horizontalDpi="600" verticalDpi="600" orientation="landscape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S6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61" sqref="A61:IV6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1" max="11" width="9.00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customWidth="1"/>
    <col min="25" max="25" width="8.75390625" style="18" customWidth="1"/>
    <col min="26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0" t="s">
        <v>12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</row>
    <row r="2" spans="1:33" ht="22.5" customHeight="1">
      <c r="A2" s="161" t="s">
        <v>53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</row>
    <row r="3" spans="2:33" s="18" customFormat="1" ht="17.25" customHeight="1">
      <c r="B3" s="87"/>
      <c r="C3" s="87"/>
      <c r="D3" s="87"/>
      <c r="AG3" s="88" t="s">
        <v>17</v>
      </c>
    </row>
    <row r="4" spans="1:33" s="18" customFormat="1" ht="63">
      <c r="A4" s="89" t="s">
        <v>26</v>
      </c>
      <c r="B4" s="90" t="s">
        <v>54</v>
      </c>
      <c r="C4" s="90" t="s">
        <v>18</v>
      </c>
      <c r="D4" s="90">
        <v>1</v>
      </c>
      <c r="E4" s="19">
        <v>2</v>
      </c>
      <c r="F4" s="19">
        <v>5</v>
      </c>
      <c r="G4" s="19">
        <v>6</v>
      </c>
      <c r="H4" s="19">
        <v>7</v>
      </c>
      <c r="I4" s="19">
        <v>8</v>
      </c>
      <c r="J4" s="19">
        <v>9</v>
      </c>
      <c r="K4" s="19">
        <v>12</v>
      </c>
      <c r="L4" s="19">
        <v>13</v>
      </c>
      <c r="M4" s="19">
        <v>14</v>
      </c>
      <c r="N4" s="19">
        <v>15</v>
      </c>
      <c r="O4" s="19">
        <v>16</v>
      </c>
      <c r="P4" s="19">
        <v>19</v>
      </c>
      <c r="Q4" s="19">
        <v>20</v>
      </c>
      <c r="R4" s="19">
        <v>21</v>
      </c>
      <c r="S4" s="19">
        <v>22</v>
      </c>
      <c r="T4" s="19">
        <v>23</v>
      </c>
      <c r="U4" s="19">
        <v>24</v>
      </c>
      <c r="V4" s="19">
        <v>25</v>
      </c>
      <c r="W4" s="19">
        <v>26</v>
      </c>
      <c r="X4" s="19">
        <v>27</v>
      </c>
      <c r="Y4" s="19">
        <v>28</v>
      </c>
      <c r="Z4" s="19"/>
      <c r="AA4" s="19"/>
      <c r="AB4" s="19"/>
      <c r="AC4" s="19"/>
      <c r="AD4" s="19"/>
      <c r="AE4" s="90" t="s">
        <v>19</v>
      </c>
      <c r="AF4" s="91" t="s">
        <v>13</v>
      </c>
      <c r="AG4" s="91" t="s">
        <v>20</v>
      </c>
    </row>
    <row r="5" spans="1:33" s="18" customFormat="1" ht="15.75" hidden="1">
      <c r="A5" s="92" t="s">
        <v>42</v>
      </c>
      <c r="B5" s="93">
        <f>SUM(D5:Y5)</f>
        <v>0</v>
      </c>
      <c r="C5" s="93"/>
      <c r="D5" s="94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93"/>
      <c r="AF5" s="95"/>
      <c r="AG5" s="95"/>
    </row>
    <row r="6" spans="1:33" s="18" customFormat="1" ht="15.75" hidden="1">
      <c r="A6" s="92" t="s">
        <v>33</v>
      </c>
      <c r="B6" s="96">
        <f>SUM(D6:AD6)</f>
        <v>0</v>
      </c>
      <c r="C6" s="94"/>
      <c r="D6" s="94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94"/>
      <c r="AF6" s="95"/>
      <c r="AG6" s="95"/>
    </row>
    <row r="7" spans="1:33" s="18" customFormat="1" ht="15.75">
      <c r="A7" s="92" t="s">
        <v>36</v>
      </c>
      <c r="B7" s="96">
        <f>SUM(D7:Y7)</f>
        <v>41182.6</v>
      </c>
      <c r="C7" s="93">
        <v>19662.3</v>
      </c>
      <c r="D7" s="39">
        <f>9589.8+11001.5</f>
        <v>20591.3</v>
      </c>
      <c r="E7" s="39"/>
      <c r="F7" s="39"/>
      <c r="G7" s="39"/>
      <c r="H7" s="97"/>
      <c r="I7" s="39"/>
      <c r="J7" s="39"/>
      <c r="K7" s="39">
        <v>20591.3</v>
      </c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93">
        <f>C7+D7+K7-AF16-AF25</f>
        <v>39225.299999999996</v>
      </c>
      <c r="AF7" s="93"/>
      <c r="AG7" s="95"/>
    </row>
    <row r="8" spans="1:55" s="18" customFormat="1" ht="18" customHeight="1">
      <c r="A8" s="98" t="s">
        <v>30</v>
      </c>
      <c r="B8" s="96">
        <f>SUM(E8:AB8)</f>
        <v>83118.77</v>
      </c>
      <c r="C8" s="96">
        <v>68643.50000000003</v>
      </c>
      <c r="D8" s="99">
        <v>10533.6</v>
      </c>
      <c r="E8" s="100">
        <v>3158.9</v>
      </c>
      <c r="F8" s="62">
        <v>2782.5</v>
      </c>
      <c r="G8" s="62">
        <v>5296</v>
      </c>
      <c r="H8" s="62">
        <v>5413.7</v>
      </c>
      <c r="I8" s="62">
        <v>12819.1</v>
      </c>
      <c r="J8" s="62">
        <v>6435.8</v>
      </c>
      <c r="K8" s="62">
        <v>3658.4</v>
      </c>
      <c r="L8" s="62">
        <v>3229.3</v>
      </c>
      <c r="M8" s="62">
        <v>4130.97</v>
      </c>
      <c r="N8" s="62">
        <v>9466.1</v>
      </c>
      <c r="O8" s="62">
        <v>8841.4</v>
      </c>
      <c r="P8" s="62">
        <v>9028.4</v>
      </c>
      <c r="Q8" s="62">
        <v>8858.2</v>
      </c>
      <c r="R8" s="62"/>
      <c r="S8" s="63"/>
      <c r="T8" s="63"/>
      <c r="U8" s="62"/>
      <c r="V8" s="62"/>
      <c r="W8" s="62"/>
      <c r="X8" s="62"/>
      <c r="Y8" s="62"/>
      <c r="Z8" s="62"/>
      <c r="AA8" s="62"/>
      <c r="AB8" s="62"/>
      <c r="AC8" s="101"/>
      <c r="AD8" s="101"/>
      <c r="AE8" s="102">
        <f>SUM(D8:AD8)+C8-AF9+AF25+AF16</f>
        <v>125781.07000000004</v>
      </c>
      <c r="AF8" s="103"/>
      <c r="AG8" s="72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</row>
    <row r="9" spans="1:35" s="107" customFormat="1" ht="15.75">
      <c r="A9" s="98" t="s">
        <v>14</v>
      </c>
      <c r="B9" s="104">
        <f>B10+B15+B24+B33+B47+B52+B54+B61+B62+B71+B72+B88+B76+B81+B83+B82+B69+B89+B90+B91+B70+B40+B92</f>
        <v>123241.56021000001</v>
      </c>
      <c r="C9" s="105">
        <f aca="true" t="shared" si="0" ref="C9:AD9">C10+C15+C24+C33+C47+C52+C54+C61+C62+C71+C72+C88+C76+C81+C83+C82+C69+C89+C90+C91+C70+C40+C92</f>
        <v>20294.70000000001</v>
      </c>
      <c r="D9" s="104">
        <f t="shared" si="0"/>
        <v>146.5</v>
      </c>
      <c r="E9" s="104">
        <f t="shared" si="0"/>
        <v>1225.5</v>
      </c>
      <c r="F9" s="104">
        <f t="shared" si="0"/>
        <v>2604.8</v>
      </c>
      <c r="G9" s="104">
        <f t="shared" si="0"/>
        <v>1149.3</v>
      </c>
      <c r="H9" s="104">
        <f t="shared" si="0"/>
        <v>143</v>
      </c>
      <c r="I9" s="104">
        <f t="shared" si="0"/>
        <v>1967</v>
      </c>
      <c r="J9" s="104">
        <f t="shared" si="0"/>
        <v>2521.6</v>
      </c>
      <c r="K9" s="104">
        <f t="shared" si="0"/>
        <v>12926.4</v>
      </c>
      <c r="L9" s="104">
        <f t="shared" si="0"/>
        <v>26458.999999999996</v>
      </c>
      <c r="M9" s="104">
        <f t="shared" si="0"/>
        <v>760.6</v>
      </c>
      <c r="N9" s="104">
        <f t="shared" si="0"/>
        <v>667.7</v>
      </c>
      <c r="O9" s="104">
        <f t="shared" si="0"/>
        <v>2730</v>
      </c>
      <c r="P9" s="104">
        <f t="shared" si="0"/>
        <v>2114.7</v>
      </c>
      <c r="Q9" s="104">
        <f t="shared" si="0"/>
        <v>2718.2999999999997</v>
      </c>
      <c r="R9" s="104">
        <f t="shared" si="0"/>
        <v>0</v>
      </c>
      <c r="S9" s="104">
        <f t="shared" si="0"/>
        <v>0</v>
      </c>
      <c r="T9" s="104">
        <f t="shared" si="0"/>
        <v>0</v>
      </c>
      <c r="U9" s="104">
        <f t="shared" si="0"/>
        <v>0</v>
      </c>
      <c r="V9" s="104">
        <f t="shared" si="0"/>
        <v>0</v>
      </c>
      <c r="W9" s="104">
        <f t="shared" si="0"/>
        <v>0</v>
      </c>
      <c r="X9" s="104">
        <f t="shared" si="0"/>
        <v>0</v>
      </c>
      <c r="Y9" s="104">
        <f t="shared" si="0"/>
        <v>0</v>
      </c>
      <c r="Z9" s="104">
        <f t="shared" si="0"/>
        <v>0</v>
      </c>
      <c r="AA9" s="104">
        <f t="shared" si="0"/>
        <v>0</v>
      </c>
      <c r="AB9" s="104">
        <f t="shared" si="0"/>
        <v>0</v>
      </c>
      <c r="AC9" s="104">
        <f t="shared" si="0"/>
        <v>0</v>
      </c>
      <c r="AD9" s="104">
        <f t="shared" si="0"/>
        <v>0</v>
      </c>
      <c r="AE9" s="104"/>
      <c r="AF9" s="104">
        <f>AF10+AF15+AF24+AF33+AF47+AF52+AF54+AF61+AF62+AF71+AF72+AF76+AF88+AF81+AF83+AF82+AF69+AF89+AF90+AF91+AF70+AF40+AF92</f>
        <v>58134.399999999994</v>
      </c>
      <c r="AG9" s="104">
        <f>AG10+AG15+AG24+AG33+AG47+AG52+AG54+AG61+AG62+AG71+AG72+AG76+AG88+AG81+AG83+AG82+AG69+AG89+AG91+AG90+AG70+AG40+AG92</f>
        <v>85401.86021</v>
      </c>
      <c r="AH9" s="106"/>
      <c r="AI9" s="106"/>
    </row>
    <row r="10" spans="1:33" s="18" customFormat="1" ht="15.75">
      <c r="A10" s="108" t="s">
        <v>4</v>
      </c>
      <c r="B10" s="72">
        <v>12601</v>
      </c>
      <c r="C10" s="109">
        <v>606.1000000000004</v>
      </c>
      <c r="D10" s="72">
        <v>38.7</v>
      </c>
      <c r="E10" s="72">
        <v>164.7</v>
      </c>
      <c r="F10" s="72">
        <v>18.3</v>
      </c>
      <c r="G10" s="72">
        <v>70.9</v>
      </c>
      <c r="H10" s="72">
        <v>29.7</v>
      </c>
      <c r="I10" s="72">
        <v>34.8</v>
      </c>
      <c r="J10" s="70"/>
      <c r="K10" s="72">
        <v>531.6</v>
      </c>
      <c r="L10" s="72">
        <v>4509.6</v>
      </c>
      <c r="M10" s="72">
        <v>56.1</v>
      </c>
      <c r="N10" s="72">
        <v>8.5</v>
      </c>
      <c r="O10" s="72">
        <v>41</v>
      </c>
      <c r="P10" s="72">
        <v>4</v>
      </c>
      <c r="Q10" s="72">
        <v>52</v>
      </c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>
        <f aca="true" t="shared" si="1" ref="AF10:AF59">SUM(D10:AD10)</f>
        <v>5559.900000000001</v>
      </c>
      <c r="AG10" s="72">
        <f>B10+C10-AF10</f>
        <v>7647.2</v>
      </c>
    </row>
    <row r="11" spans="1:33" s="18" customFormat="1" ht="15.75">
      <c r="A11" s="110" t="s">
        <v>5</v>
      </c>
      <c r="B11" s="72">
        <v>12060.1</v>
      </c>
      <c r="C11" s="109">
        <v>328.10000000000036</v>
      </c>
      <c r="D11" s="72">
        <v>37</v>
      </c>
      <c r="E11" s="72">
        <v>143.9</v>
      </c>
      <c r="F11" s="72">
        <v>8.8</v>
      </c>
      <c r="G11" s="72">
        <v>37.8</v>
      </c>
      <c r="H11" s="72">
        <v>16.1</v>
      </c>
      <c r="I11" s="72">
        <v>28.3</v>
      </c>
      <c r="J11" s="72"/>
      <c r="K11" s="72">
        <v>518.4</v>
      </c>
      <c r="L11" s="72">
        <v>4342.6</v>
      </c>
      <c r="M11" s="72"/>
      <c r="N11" s="72"/>
      <c r="O11" s="72">
        <v>40</v>
      </c>
      <c r="P11" s="72"/>
      <c r="Q11" s="72">
        <v>45.8</v>
      </c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>
        <f t="shared" si="1"/>
        <v>5218.700000000001</v>
      </c>
      <c r="AG11" s="72">
        <f>B11+C11-AF11</f>
        <v>7169.5</v>
      </c>
    </row>
    <row r="12" spans="1:33" s="18" customFormat="1" ht="15.75">
      <c r="A12" s="110" t="s">
        <v>2</v>
      </c>
      <c r="B12" s="70">
        <v>171</v>
      </c>
      <c r="C12" s="109">
        <v>113.8</v>
      </c>
      <c r="D12" s="72"/>
      <c r="E12" s="72"/>
      <c r="F12" s="72"/>
      <c r="G12" s="72"/>
      <c r="H12" s="72">
        <v>3.4</v>
      </c>
      <c r="I12" s="72"/>
      <c r="J12" s="72"/>
      <c r="K12" s="72"/>
      <c r="L12" s="72">
        <v>167</v>
      </c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>
        <f t="shared" si="1"/>
        <v>170.4</v>
      </c>
      <c r="AG12" s="72">
        <f>B12+C12-AF12</f>
        <v>114.4</v>
      </c>
    </row>
    <row r="13" spans="1:33" s="18" customFormat="1" ht="15.75" hidden="1">
      <c r="A13" s="110" t="s">
        <v>16</v>
      </c>
      <c r="B13" s="72"/>
      <c r="C13" s="109">
        <v>0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>
        <f t="shared" si="1"/>
        <v>0</v>
      </c>
      <c r="AG13" s="72">
        <f>B13+C13-AF13</f>
        <v>0</v>
      </c>
    </row>
    <row r="14" spans="1:33" s="18" customFormat="1" ht="15.75">
      <c r="A14" s="110" t="s">
        <v>23</v>
      </c>
      <c r="B14" s="72">
        <f aca="true" t="shared" si="2" ref="B14:Y14">B10-B11-B12-B13</f>
        <v>369.89999999999964</v>
      </c>
      <c r="C14" s="109">
        <f t="shared" si="2"/>
        <v>164.2</v>
      </c>
      <c r="D14" s="72">
        <f t="shared" si="2"/>
        <v>1.7000000000000028</v>
      </c>
      <c r="E14" s="72">
        <f t="shared" si="2"/>
        <v>20.799999999999983</v>
      </c>
      <c r="F14" s="72">
        <f t="shared" si="2"/>
        <v>9.5</v>
      </c>
      <c r="G14" s="72">
        <f t="shared" si="2"/>
        <v>33.10000000000001</v>
      </c>
      <c r="H14" s="72">
        <f t="shared" si="2"/>
        <v>10.199999999999998</v>
      </c>
      <c r="I14" s="72">
        <f t="shared" si="2"/>
        <v>6.4999999999999964</v>
      </c>
      <c r="J14" s="72">
        <f t="shared" si="2"/>
        <v>0</v>
      </c>
      <c r="K14" s="72">
        <f t="shared" si="2"/>
        <v>13.200000000000045</v>
      </c>
      <c r="L14" s="72">
        <f t="shared" si="2"/>
        <v>0</v>
      </c>
      <c r="M14" s="72">
        <f t="shared" si="2"/>
        <v>56.1</v>
      </c>
      <c r="N14" s="72">
        <f t="shared" si="2"/>
        <v>8.5</v>
      </c>
      <c r="O14" s="72">
        <f t="shared" si="2"/>
        <v>1</v>
      </c>
      <c r="P14" s="72">
        <f t="shared" si="2"/>
        <v>4</v>
      </c>
      <c r="Q14" s="72">
        <f t="shared" si="2"/>
        <v>6.200000000000003</v>
      </c>
      <c r="R14" s="72">
        <f t="shared" si="2"/>
        <v>0</v>
      </c>
      <c r="S14" s="72">
        <f t="shared" si="2"/>
        <v>0</v>
      </c>
      <c r="T14" s="72">
        <f t="shared" si="2"/>
        <v>0</v>
      </c>
      <c r="U14" s="72">
        <f t="shared" si="2"/>
        <v>0</v>
      </c>
      <c r="V14" s="72">
        <f t="shared" si="2"/>
        <v>0</v>
      </c>
      <c r="W14" s="72">
        <f t="shared" si="2"/>
        <v>0</v>
      </c>
      <c r="X14" s="72">
        <f t="shared" si="2"/>
        <v>0</v>
      </c>
      <c r="Y14" s="72">
        <f t="shared" si="2"/>
        <v>0</v>
      </c>
      <c r="Z14" s="72"/>
      <c r="AA14" s="72"/>
      <c r="AB14" s="72"/>
      <c r="AC14" s="72"/>
      <c r="AD14" s="72"/>
      <c r="AE14" s="72"/>
      <c r="AF14" s="72">
        <f t="shared" si="1"/>
        <v>170.80000000000007</v>
      </c>
      <c r="AG14" s="72">
        <f>AG10-AG11-AG12-AG13</f>
        <v>363.29999999999984</v>
      </c>
    </row>
    <row r="15" spans="1:35" s="18" customFormat="1" ht="15" customHeight="1">
      <c r="A15" s="108" t="s">
        <v>6</v>
      </c>
      <c r="B15" s="72">
        <v>56382.229810000004</v>
      </c>
      <c r="C15" s="109">
        <v>6488.800000000003</v>
      </c>
      <c r="D15" s="111"/>
      <c r="E15" s="111">
        <v>151.3</v>
      </c>
      <c r="F15" s="72">
        <v>0.7</v>
      </c>
      <c r="G15" s="72">
        <v>306.3</v>
      </c>
      <c r="H15" s="72"/>
      <c r="I15" s="72">
        <v>593.7</v>
      </c>
      <c r="J15" s="72">
        <v>110</v>
      </c>
      <c r="K15" s="72">
        <f>1396.3+9132.6</f>
        <v>10528.9</v>
      </c>
      <c r="L15" s="72">
        <v>10728.8</v>
      </c>
      <c r="M15" s="72">
        <v>272.5</v>
      </c>
      <c r="N15" s="72">
        <v>616.2</v>
      </c>
      <c r="O15" s="72">
        <v>58.8</v>
      </c>
      <c r="P15" s="72">
        <v>521.9</v>
      </c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>
        <f t="shared" si="1"/>
        <v>23889.1</v>
      </c>
      <c r="AG15" s="72">
        <f aca="true" t="shared" si="3" ref="AG15:AG31">B15+C15-AF15</f>
        <v>38981.92981000001</v>
      </c>
      <c r="AI15" s="112"/>
    </row>
    <row r="16" spans="1:34" s="117" customFormat="1" ht="15" customHeight="1">
      <c r="A16" s="113" t="s">
        <v>38</v>
      </c>
      <c r="B16" s="76">
        <v>19179.6</v>
      </c>
      <c r="C16" s="114">
        <v>21.69999999999709</v>
      </c>
      <c r="D16" s="115"/>
      <c r="E16" s="115"/>
      <c r="F16" s="76"/>
      <c r="G16" s="76"/>
      <c r="H16" s="76"/>
      <c r="I16" s="76"/>
      <c r="J16" s="76"/>
      <c r="K16" s="76">
        <v>9132.6</v>
      </c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115">
        <f t="shared" si="1"/>
        <v>9132.6</v>
      </c>
      <c r="AG16" s="115">
        <f t="shared" si="3"/>
        <v>10068.699999999995</v>
      </c>
      <c r="AH16" s="116"/>
    </row>
    <row r="17" spans="1:34" s="18" customFormat="1" ht="15.75">
      <c r="A17" s="110" t="s">
        <v>5</v>
      </c>
      <c r="B17" s="72">
        <v>39328.63</v>
      </c>
      <c r="C17" s="109">
        <v>871.9000000000015</v>
      </c>
      <c r="D17" s="72"/>
      <c r="E17" s="72"/>
      <c r="F17" s="72"/>
      <c r="G17" s="72"/>
      <c r="H17" s="72"/>
      <c r="I17" s="72"/>
      <c r="J17" s="72"/>
      <c r="K17" s="72">
        <f>963.8+9132.6</f>
        <v>10096.4</v>
      </c>
      <c r="L17" s="72">
        <v>10728.8</v>
      </c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>
        <f t="shared" si="1"/>
        <v>20825.199999999997</v>
      </c>
      <c r="AG17" s="72">
        <f t="shared" si="3"/>
        <v>19375.33</v>
      </c>
      <c r="AH17" s="21"/>
    </row>
    <row r="18" spans="1:33" s="18" customFormat="1" ht="15.75">
      <c r="A18" s="110" t="s">
        <v>3</v>
      </c>
      <c r="B18" s="72"/>
      <c r="C18" s="109">
        <v>0</v>
      </c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>
        <f t="shared" si="1"/>
        <v>0</v>
      </c>
      <c r="AG18" s="72">
        <f t="shared" si="3"/>
        <v>0</v>
      </c>
    </row>
    <row r="19" spans="1:33" s="18" customFormat="1" ht="15.75">
      <c r="A19" s="110" t="s">
        <v>1</v>
      </c>
      <c r="B19" s="72">
        <v>4039.9</v>
      </c>
      <c r="C19" s="109">
        <v>2791.5</v>
      </c>
      <c r="D19" s="72"/>
      <c r="E19" s="72">
        <v>85.8</v>
      </c>
      <c r="F19" s="72"/>
      <c r="G19" s="72">
        <v>204.3</v>
      </c>
      <c r="H19" s="72"/>
      <c r="I19" s="72">
        <v>521.3</v>
      </c>
      <c r="J19" s="72">
        <v>87.9</v>
      </c>
      <c r="K19" s="72">
        <v>293.2</v>
      </c>
      <c r="L19" s="72"/>
      <c r="M19" s="72">
        <v>244.8</v>
      </c>
      <c r="N19" s="72">
        <v>269.9</v>
      </c>
      <c r="O19" s="72">
        <v>23.7</v>
      </c>
      <c r="P19" s="72">
        <v>37.8</v>
      </c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>
        <f t="shared" si="1"/>
        <v>1768.6999999999998</v>
      </c>
      <c r="AG19" s="72">
        <f t="shared" si="3"/>
        <v>5062.7</v>
      </c>
    </row>
    <row r="20" spans="1:33" s="18" customFormat="1" ht="15.75">
      <c r="A20" s="110" t="s">
        <v>2</v>
      </c>
      <c r="B20" s="72">
        <v>2976.605</v>
      </c>
      <c r="C20" s="109">
        <v>2703.5</v>
      </c>
      <c r="D20" s="72"/>
      <c r="E20" s="72">
        <v>64.1</v>
      </c>
      <c r="F20" s="72">
        <v>0.7</v>
      </c>
      <c r="G20" s="72">
        <v>97.8</v>
      </c>
      <c r="H20" s="72"/>
      <c r="I20" s="72">
        <v>43.1</v>
      </c>
      <c r="J20" s="72">
        <v>15</v>
      </c>
      <c r="K20" s="72">
        <v>139.2</v>
      </c>
      <c r="L20" s="72"/>
      <c r="M20" s="72">
        <v>27.2</v>
      </c>
      <c r="N20" s="72"/>
      <c r="O20" s="72">
        <v>31.6</v>
      </c>
      <c r="P20" s="72">
        <v>324.4</v>
      </c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>
        <f t="shared" si="1"/>
        <v>743.0999999999999</v>
      </c>
      <c r="AG20" s="72">
        <f t="shared" si="3"/>
        <v>4937.004999999999</v>
      </c>
    </row>
    <row r="21" spans="1:33" s="18" customFormat="1" ht="15.75">
      <c r="A21" s="110" t="s">
        <v>16</v>
      </c>
      <c r="B21" s="72">
        <v>1154</v>
      </c>
      <c r="C21" s="109">
        <v>38.700000000000045</v>
      </c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>
        <v>346.3</v>
      </c>
      <c r="O21" s="72"/>
      <c r="P21" s="72">
        <v>159.7</v>
      </c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>
        <f t="shared" si="1"/>
        <v>506</v>
      </c>
      <c r="AG21" s="72">
        <f t="shared" si="3"/>
        <v>686.7</v>
      </c>
    </row>
    <row r="22" spans="1:33" s="18" customFormat="1" ht="15.75" hidden="1">
      <c r="A22" s="110" t="s">
        <v>15</v>
      </c>
      <c r="B22" s="111"/>
      <c r="C22" s="109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>
        <f t="shared" si="1"/>
        <v>0</v>
      </c>
      <c r="AG22" s="72">
        <f t="shared" si="3"/>
        <v>0</v>
      </c>
    </row>
    <row r="23" spans="1:33" s="18" customFormat="1" ht="15.75">
      <c r="A23" s="110" t="s">
        <v>23</v>
      </c>
      <c r="B23" s="72">
        <f aca="true" t="shared" si="4" ref="B23:AD23">B15-B17-B18-B19-B20-B21-B22</f>
        <v>8883.094810000008</v>
      </c>
      <c r="C23" s="109">
        <f t="shared" si="4"/>
        <v>83.20000000000141</v>
      </c>
      <c r="D23" s="72">
        <f t="shared" si="4"/>
        <v>0</v>
      </c>
      <c r="E23" s="72">
        <f t="shared" si="4"/>
        <v>1.40000000000002</v>
      </c>
      <c r="F23" s="72">
        <f t="shared" si="4"/>
        <v>0</v>
      </c>
      <c r="G23" s="72">
        <f t="shared" si="4"/>
        <v>4.200000000000003</v>
      </c>
      <c r="H23" s="72">
        <f t="shared" si="4"/>
        <v>0</v>
      </c>
      <c r="I23" s="72">
        <f t="shared" si="4"/>
        <v>29.30000000000009</v>
      </c>
      <c r="J23" s="72">
        <f t="shared" si="4"/>
        <v>7.099999999999994</v>
      </c>
      <c r="K23" s="72">
        <f t="shared" si="4"/>
        <v>0.10000000000002274</v>
      </c>
      <c r="L23" s="72">
        <f t="shared" si="4"/>
        <v>0</v>
      </c>
      <c r="M23" s="72">
        <f t="shared" si="4"/>
        <v>0.49999999999998934</v>
      </c>
      <c r="N23" s="72">
        <f t="shared" si="4"/>
        <v>5.684341886080802E-14</v>
      </c>
      <c r="O23" s="72">
        <f t="shared" si="4"/>
        <v>3.499999999999993</v>
      </c>
      <c r="P23" s="72">
        <f t="shared" si="4"/>
        <v>0</v>
      </c>
      <c r="Q23" s="72">
        <f t="shared" si="4"/>
        <v>0</v>
      </c>
      <c r="R23" s="72">
        <f t="shared" si="4"/>
        <v>0</v>
      </c>
      <c r="S23" s="72">
        <f t="shared" si="4"/>
        <v>0</v>
      </c>
      <c r="T23" s="72">
        <f t="shared" si="4"/>
        <v>0</v>
      </c>
      <c r="U23" s="72">
        <f t="shared" si="4"/>
        <v>0</v>
      </c>
      <c r="V23" s="72">
        <f t="shared" si="4"/>
        <v>0</v>
      </c>
      <c r="W23" s="72">
        <f t="shared" si="4"/>
        <v>0</v>
      </c>
      <c r="X23" s="72">
        <f t="shared" si="4"/>
        <v>0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/>
      <c r="AF23" s="72">
        <f t="shared" si="1"/>
        <v>46.10000000000017</v>
      </c>
      <c r="AG23" s="72">
        <f t="shared" si="3"/>
        <v>8920.194810000008</v>
      </c>
    </row>
    <row r="24" spans="1:35" s="18" customFormat="1" ht="15" customHeight="1">
      <c r="A24" s="108" t="s">
        <v>7</v>
      </c>
      <c r="B24" s="72">
        <v>33467.7</v>
      </c>
      <c r="C24" s="109">
        <v>7267.200000000001</v>
      </c>
      <c r="D24" s="72">
        <v>107.8</v>
      </c>
      <c r="E24" s="72">
        <v>99.9</v>
      </c>
      <c r="F24" s="72">
        <f>131.7+68</f>
        <v>199.7</v>
      </c>
      <c r="G24" s="72"/>
      <c r="H24" s="72"/>
      <c r="I24" s="72"/>
      <c r="J24" s="72">
        <f>568.1+670.4</f>
        <v>1238.5</v>
      </c>
      <c r="K24" s="72">
        <f>12.4+333.8</f>
        <v>346.2</v>
      </c>
      <c r="L24" s="72">
        <v>10669.5</v>
      </c>
      <c r="M24" s="72"/>
      <c r="N24" s="72"/>
      <c r="O24" s="72">
        <f>2109.9+517.6</f>
        <v>2627.5</v>
      </c>
      <c r="P24" s="72">
        <f>995+20</f>
        <v>1015</v>
      </c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16304.1</v>
      </c>
      <c r="AG24" s="72">
        <f t="shared" si="3"/>
        <v>24430.799999999996</v>
      </c>
      <c r="AI24" s="112"/>
    </row>
    <row r="25" spans="1:34" s="117" customFormat="1" ht="15" customHeight="1">
      <c r="A25" s="113" t="s">
        <v>39</v>
      </c>
      <c r="B25" s="76">
        <v>22003</v>
      </c>
      <c r="C25" s="114">
        <v>2681.2999999999993</v>
      </c>
      <c r="D25" s="76">
        <v>107.8</v>
      </c>
      <c r="E25" s="76">
        <v>99.9</v>
      </c>
      <c r="F25" s="76">
        <v>68</v>
      </c>
      <c r="G25" s="76"/>
      <c r="H25" s="76"/>
      <c r="I25" s="76"/>
      <c r="J25" s="76">
        <v>670.4</v>
      </c>
      <c r="K25" s="76">
        <v>333.8</v>
      </c>
      <c r="L25" s="76">
        <v>10669.5</v>
      </c>
      <c r="M25" s="76"/>
      <c r="N25" s="76"/>
      <c r="O25" s="76">
        <v>517.6</v>
      </c>
      <c r="P25" s="76">
        <v>20</v>
      </c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12487</v>
      </c>
      <c r="AG25" s="115">
        <f t="shared" si="3"/>
        <v>12197.3</v>
      </c>
      <c r="AH25" s="116"/>
    </row>
    <row r="26" spans="1:34" s="18" customFormat="1" ht="15.75" hidden="1">
      <c r="A26" s="110" t="s">
        <v>5</v>
      </c>
      <c r="B26" s="72"/>
      <c r="C26" s="109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>
        <f t="shared" si="1"/>
        <v>0</v>
      </c>
      <c r="AG26" s="72">
        <f t="shared" si="3"/>
        <v>0</v>
      </c>
      <c r="AH26" s="21"/>
    </row>
    <row r="27" spans="1:33" s="18" customFormat="1" ht="15.75" hidden="1">
      <c r="A27" s="110" t="s">
        <v>3</v>
      </c>
      <c r="B27" s="72"/>
      <c r="C27" s="109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>
        <f t="shared" si="1"/>
        <v>0</v>
      </c>
      <c r="AG27" s="72">
        <f t="shared" si="3"/>
        <v>0</v>
      </c>
    </row>
    <row r="28" spans="1:33" s="18" customFormat="1" ht="15.75" hidden="1">
      <c r="A28" s="110" t="s">
        <v>1</v>
      </c>
      <c r="B28" s="72"/>
      <c r="C28" s="109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>
        <f t="shared" si="1"/>
        <v>0</v>
      </c>
      <c r="AG28" s="72">
        <f t="shared" si="3"/>
        <v>0</v>
      </c>
    </row>
    <row r="29" spans="1:33" s="18" customFormat="1" ht="15.75" hidden="1">
      <c r="A29" s="110" t="s">
        <v>2</v>
      </c>
      <c r="B29" s="72"/>
      <c r="C29" s="109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>
        <f t="shared" si="1"/>
        <v>0</v>
      </c>
      <c r="AG29" s="72">
        <f t="shared" si="3"/>
        <v>0</v>
      </c>
    </row>
    <row r="30" spans="1:33" s="18" customFormat="1" ht="15.75" hidden="1">
      <c r="A30" s="110" t="s">
        <v>16</v>
      </c>
      <c r="B30" s="72"/>
      <c r="C30" s="109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>
        <f t="shared" si="1"/>
        <v>0</v>
      </c>
      <c r="AG30" s="72">
        <f t="shared" si="3"/>
        <v>0</v>
      </c>
    </row>
    <row r="31" spans="1:33" s="18" customFormat="1" ht="15.75" hidden="1">
      <c r="A31" s="110" t="s">
        <v>15</v>
      </c>
      <c r="B31" s="72"/>
      <c r="C31" s="109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>
        <f t="shared" si="1"/>
        <v>0</v>
      </c>
      <c r="AG31" s="72">
        <f t="shared" si="3"/>
        <v>0</v>
      </c>
    </row>
    <row r="32" spans="1:33" s="18" customFormat="1" ht="15.75">
      <c r="A32" s="110" t="s">
        <v>23</v>
      </c>
      <c r="B32" s="72">
        <f>B24</f>
        <v>33467.7</v>
      </c>
      <c r="C32" s="109">
        <f aca="true" t="shared" si="5" ref="C32:AD32">C24-C26-C27-C28-C29-C30-C31</f>
        <v>7267.200000000001</v>
      </c>
      <c r="D32" s="72">
        <f t="shared" si="5"/>
        <v>107.8</v>
      </c>
      <c r="E32" s="72">
        <f t="shared" si="5"/>
        <v>99.9</v>
      </c>
      <c r="F32" s="72">
        <f t="shared" si="5"/>
        <v>199.7</v>
      </c>
      <c r="G32" s="72">
        <f t="shared" si="5"/>
        <v>0</v>
      </c>
      <c r="H32" s="72">
        <f t="shared" si="5"/>
        <v>0</v>
      </c>
      <c r="I32" s="72">
        <f t="shared" si="5"/>
        <v>0</v>
      </c>
      <c r="J32" s="72">
        <f t="shared" si="5"/>
        <v>1238.5</v>
      </c>
      <c r="K32" s="72">
        <f t="shared" si="5"/>
        <v>346.2</v>
      </c>
      <c r="L32" s="72">
        <f t="shared" si="5"/>
        <v>10669.5</v>
      </c>
      <c r="M32" s="72">
        <f t="shared" si="5"/>
        <v>0</v>
      </c>
      <c r="N32" s="72">
        <f t="shared" si="5"/>
        <v>0</v>
      </c>
      <c r="O32" s="72">
        <f t="shared" si="5"/>
        <v>2627.5</v>
      </c>
      <c r="P32" s="72">
        <f t="shared" si="5"/>
        <v>1015</v>
      </c>
      <c r="Q32" s="72">
        <f t="shared" si="5"/>
        <v>0</v>
      </c>
      <c r="R32" s="72">
        <f t="shared" si="5"/>
        <v>0</v>
      </c>
      <c r="S32" s="72">
        <f t="shared" si="5"/>
        <v>0</v>
      </c>
      <c r="T32" s="72">
        <f t="shared" si="5"/>
        <v>0</v>
      </c>
      <c r="U32" s="72">
        <f t="shared" si="5"/>
        <v>0</v>
      </c>
      <c r="V32" s="72">
        <f t="shared" si="5"/>
        <v>0</v>
      </c>
      <c r="W32" s="72">
        <f t="shared" si="5"/>
        <v>0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/>
      <c r="AF32" s="72">
        <f t="shared" si="1"/>
        <v>16304.1</v>
      </c>
      <c r="AG32" s="72">
        <f>AG24</f>
        <v>24430.799999999996</v>
      </c>
    </row>
    <row r="33" spans="1:33" s="18" customFormat="1" ht="15" customHeight="1">
      <c r="A33" s="108" t="s">
        <v>8</v>
      </c>
      <c r="B33" s="72">
        <v>354.5</v>
      </c>
      <c r="C33" s="109">
        <v>111.19999999999999</v>
      </c>
      <c r="D33" s="72"/>
      <c r="E33" s="72"/>
      <c r="F33" s="72"/>
      <c r="G33" s="72"/>
      <c r="H33" s="72"/>
      <c r="I33" s="72">
        <v>43.2</v>
      </c>
      <c r="J33" s="72"/>
      <c r="K33" s="72">
        <v>40.5</v>
      </c>
      <c r="L33" s="72"/>
      <c r="M33" s="72">
        <v>47.6</v>
      </c>
      <c r="N33" s="72"/>
      <c r="O33" s="72"/>
      <c r="P33" s="72">
        <v>13</v>
      </c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>
        <f t="shared" si="1"/>
        <v>144.3</v>
      </c>
      <c r="AG33" s="72">
        <f aca="true" t="shared" si="6" ref="AG33:AG38">B33+C33-AF33</f>
        <v>321.4</v>
      </c>
    </row>
    <row r="34" spans="1:33" s="18" customFormat="1" ht="15.75">
      <c r="A34" s="110" t="s">
        <v>5</v>
      </c>
      <c r="B34" s="72">
        <v>238.9</v>
      </c>
      <c r="C34" s="109">
        <v>13.499999999999972</v>
      </c>
      <c r="D34" s="72"/>
      <c r="E34" s="72"/>
      <c r="F34" s="72"/>
      <c r="G34" s="72"/>
      <c r="H34" s="72"/>
      <c r="I34" s="72"/>
      <c r="J34" s="72"/>
      <c r="K34" s="72">
        <v>40.5</v>
      </c>
      <c r="L34" s="72"/>
      <c r="M34" s="72">
        <v>47.3</v>
      </c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>
        <f t="shared" si="1"/>
        <v>87.8</v>
      </c>
      <c r="AG34" s="72">
        <f t="shared" si="6"/>
        <v>164.59999999999997</v>
      </c>
    </row>
    <row r="35" spans="1:33" s="18" customFormat="1" ht="15.75" hidden="1">
      <c r="A35" s="110" t="s">
        <v>1</v>
      </c>
      <c r="B35" s="72"/>
      <c r="C35" s="109"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>
        <f t="shared" si="1"/>
        <v>0</v>
      </c>
      <c r="AG35" s="72">
        <f t="shared" si="6"/>
        <v>0</v>
      </c>
    </row>
    <row r="36" spans="1:33" s="18" customFormat="1" ht="15.75">
      <c r="A36" s="110" t="s">
        <v>2</v>
      </c>
      <c r="B36" s="111">
        <v>110.5</v>
      </c>
      <c r="C36" s="109">
        <v>92.3</v>
      </c>
      <c r="D36" s="72"/>
      <c r="E36" s="72"/>
      <c r="F36" s="72"/>
      <c r="G36" s="72"/>
      <c r="H36" s="72"/>
      <c r="I36" s="72">
        <v>43.2</v>
      </c>
      <c r="J36" s="72"/>
      <c r="K36" s="72"/>
      <c r="L36" s="72"/>
      <c r="M36" s="72"/>
      <c r="N36" s="72"/>
      <c r="O36" s="72"/>
      <c r="P36" s="72">
        <v>13</v>
      </c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>
        <f t="shared" si="1"/>
        <v>56.2</v>
      </c>
      <c r="AG36" s="72">
        <f t="shared" si="6"/>
        <v>146.60000000000002</v>
      </c>
    </row>
    <row r="37" spans="1:33" s="18" customFormat="1" ht="15.75">
      <c r="A37" s="110" t="s">
        <v>16</v>
      </c>
      <c r="B37" s="72">
        <v>0</v>
      </c>
      <c r="C37" s="109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>
        <f t="shared" si="1"/>
        <v>0</v>
      </c>
      <c r="AG37" s="72">
        <f t="shared" si="6"/>
        <v>0</v>
      </c>
    </row>
    <row r="38" spans="1:33" s="18" customFormat="1" ht="15.75" hidden="1">
      <c r="A38" s="110" t="s">
        <v>15</v>
      </c>
      <c r="B38" s="72"/>
      <c r="C38" s="109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>
        <f t="shared" si="1"/>
        <v>0</v>
      </c>
      <c r="AG38" s="72">
        <f t="shared" si="6"/>
        <v>0</v>
      </c>
    </row>
    <row r="39" spans="1:33" s="18" customFormat="1" ht="15.75">
      <c r="A39" s="110" t="s">
        <v>23</v>
      </c>
      <c r="B39" s="72">
        <f aca="true" t="shared" si="7" ref="B39:AD39">B33-B34-B36-B38-B37-B35</f>
        <v>5.099999999999994</v>
      </c>
      <c r="C39" s="109">
        <f t="shared" si="7"/>
        <v>5.40000000000002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 t="shared" si="7"/>
        <v>0</v>
      </c>
      <c r="I39" s="72">
        <f t="shared" si="7"/>
        <v>0</v>
      </c>
      <c r="J39" s="72">
        <f t="shared" si="7"/>
        <v>0</v>
      </c>
      <c r="K39" s="72">
        <f t="shared" si="7"/>
        <v>0</v>
      </c>
      <c r="L39" s="72">
        <f t="shared" si="7"/>
        <v>0</v>
      </c>
      <c r="M39" s="72">
        <f t="shared" si="7"/>
        <v>0.30000000000000426</v>
      </c>
      <c r="N39" s="72">
        <f t="shared" si="7"/>
        <v>0</v>
      </c>
      <c r="O39" s="72">
        <f t="shared" si="7"/>
        <v>0</v>
      </c>
      <c r="P39" s="72">
        <f t="shared" si="7"/>
        <v>0</v>
      </c>
      <c r="Q39" s="72">
        <f t="shared" si="7"/>
        <v>0</v>
      </c>
      <c r="R39" s="72">
        <f t="shared" si="7"/>
        <v>0</v>
      </c>
      <c r="S39" s="72">
        <f t="shared" si="7"/>
        <v>0</v>
      </c>
      <c r="T39" s="72">
        <f t="shared" si="7"/>
        <v>0</v>
      </c>
      <c r="U39" s="72">
        <f t="shared" si="7"/>
        <v>0</v>
      </c>
      <c r="V39" s="72">
        <f t="shared" si="7"/>
        <v>0</v>
      </c>
      <c r="W39" s="72">
        <f t="shared" si="7"/>
        <v>0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/>
      <c r="AF39" s="72">
        <f t="shared" si="1"/>
        <v>0.30000000000000426</v>
      </c>
      <c r="AG39" s="72">
        <f>AG33-AG34-AG36-AG38-AG35-AG37</f>
        <v>10.199999999999989</v>
      </c>
    </row>
    <row r="40" spans="1:33" s="18" customFormat="1" ht="15" customHeight="1">
      <c r="A40" s="108" t="s">
        <v>29</v>
      </c>
      <c r="B40" s="72">
        <v>982.3</v>
      </c>
      <c r="C40" s="109">
        <v>182.39999999999998</v>
      </c>
      <c r="D40" s="72"/>
      <c r="E40" s="72"/>
      <c r="F40" s="72"/>
      <c r="G40" s="72"/>
      <c r="H40" s="72">
        <v>52.3</v>
      </c>
      <c r="I40" s="72"/>
      <c r="J40" s="72"/>
      <c r="K40" s="72"/>
      <c r="L40" s="72"/>
      <c r="M40" s="72">
        <v>349.2</v>
      </c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>
        <f t="shared" si="1"/>
        <v>401.5</v>
      </c>
      <c r="AG40" s="72">
        <f aca="true" t="shared" si="8" ref="AG40:AG45">B40+C40-AF40</f>
        <v>763.1999999999998</v>
      </c>
    </row>
    <row r="41" spans="1:34" s="18" customFormat="1" ht="15.75">
      <c r="A41" s="110" t="s">
        <v>5</v>
      </c>
      <c r="B41" s="72">
        <v>834.5</v>
      </c>
      <c r="C41" s="109">
        <v>45.60000000000002</v>
      </c>
      <c r="D41" s="72"/>
      <c r="E41" s="72"/>
      <c r="F41" s="72"/>
      <c r="G41" s="72"/>
      <c r="H41" s="72"/>
      <c r="I41" s="72"/>
      <c r="J41" s="72"/>
      <c r="K41" s="72"/>
      <c r="L41" s="72"/>
      <c r="M41" s="72">
        <v>334.1</v>
      </c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>
        <f t="shared" si="1"/>
        <v>334.1</v>
      </c>
      <c r="AG41" s="72">
        <f t="shared" si="8"/>
        <v>546</v>
      </c>
      <c r="AH41" s="21"/>
    </row>
    <row r="42" spans="1:33" s="18" customFormat="1" ht="15.75">
      <c r="A42" s="110" t="s">
        <v>3</v>
      </c>
      <c r="B42" s="72"/>
      <c r="C42" s="109">
        <v>0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>
        <f t="shared" si="1"/>
        <v>0</v>
      </c>
      <c r="AG42" s="72">
        <f t="shared" si="8"/>
        <v>0</v>
      </c>
    </row>
    <row r="43" spans="1:33" s="18" customFormat="1" ht="15.75">
      <c r="A43" s="110" t="s">
        <v>1</v>
      </c>
      <c r="B43" s="72">
        <v>8.4</v>
      </c>
      <c r="C43" s="109">
        <v>0</v>
      </c>
      <c r="D43" s="72"/>
      <c r="E43" s="72"/>
      <c r="F43" s="72"/>
      <c r="G43" s="72"/>
      <c r="H43" s="72"/>
      <c r="I43" s="72"/>
      <c r="J43" s="72"/>
      <c r="K43" s="72"/>
      <c r="L43" s="72"/>
      <c r="M43" s="72">
        <v>5.7</v>
      </c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>
        <f t="shared" si="1"/>
        <v>5.7</v>
      </c>
      <c r="AG43" s="72">
        <f t="shared" si="8"/>
        <v>2.7</v>
      </c>
    </row>
    <row r="44" spans="1:33" s="18" customFormat="1" ht="15.75">
      <c r="A44" s="110" t="s">
        <v>2</v>
      </c>
      <c r="B44" s="72">
        <v>130.1</v>
      </c>
      <c r="C44" s="109">
        <v>130.2</v>
      </c>
      <c r="D44" s="72"/>
      <c r="E44" s="72"/>
      <c r="F44" s="72"/>
      <c r="G44" s="72"/>
      <c r="H44" s="72">
        <v>51.9</v>
      </c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>
        <f t="shared" si="1"/>
        <v>51.9</v>
      </c>
      <c r="AG44" s="72">
        <f t="shared" si="8"/>
        <v>208.39999999999995</v>
      </c>
    </row>
    <row r="45" spans="1:33" s="18" customFormat="1" ht="15.75" hidden="1">
      <c r="A45" s="110" t="s">
        <v>15</v>
      </c>
      <c r="B45" s="72"/>
      <c r="C45" s="109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>
        <f t="shared" si="1"/>
        <v>0</v>
      </c>
      <c r="AG45" s="72">
        <f t="shared" si="8"/>
        <v>0</v>
      </c>
    </row>
    <row r="46" spans="1:33" s="18" customFormat="1" ht="15.75">
      <c r="A46" s="110" t="s">
        <v>23</v>
      </c>
      <c r="B46" s="72">
        <f aca="true" t="shared" si="9" ref="B46:AD46">B40-B41-B42-B43-B44-B45</f>
        <v>9.299999999999955</v>
      </c>
      <c r="C46" s="109">
        <f t="shared" si="9"/>
        <v>6.599999999999966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0</v>
      </c>
      <c r="H46" s="72">
        <f t="shared" si="9"/>
        <v>0.3999999999999986</v>
      </c>
      <c r="I46" s="72">
        <f t="shared" si="9"/>
        <v>0</v>
      </c>
      <c r="J46" s="72">
        <f t="shared" si="9"/>
        <v>0</v>
      </c>
      <c r="K46" s="72">
        <f t="shared" si="9"/>
        <v>0</v>
      </c>
      <c r="L46" s="72">
        <f t="shared" si="9"/>
        <v>0</v>
      </c>
      <c r="M46" s="72">
        <f t="shared" si="9"/>
        <v>9.399999999999967</v>
      </c>
      <c r="N46" s="72">
        <f t="shared" si="9"/>
        <v>0</v>
      </c>
      <c r="O46" s="72">
        <f t="shared" si="9"/>
        <v>0</v>
      </c>
      <c r="P46" s="72">
        <f t="shared" si="9"/>
        <v>0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0</v>
      </c>
      <c r="V46" s="72">
        <f t="shared" si="9"/>
        <v>0</v>
      </c>
      <c r="W46" s="72">
        <f t="shared" si="9"/>
        <v>0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/>
      <c r="AF46" s="72">
        <f t="shared" si="1"/>
        <v>9.799999999999965</v>
      </c>
      <c r="AG46" s="72">
        <f>AG40-AG41-AG42-AG43-AG44-AG45</f>
        <v>6.099999999999881</v>
      </c>
    </row>
    <row r="47" spans="1:33" s="18" customFormat="1" ht="17.25" customHeight="1">
      <c r="A47" s="108" t="s">
        <v>43</v>
      </c>
      <c r="B47" s="70">
        <v>879.3</v>
      </c>
      <c r="C47" s="109">
        <v>570.7</v>
      </c>
      <c r="D47" s="72"/>
      <c r="E47" s="80"/>
      <c r="F47" s="80"/>
      <c r="G47" s="80"/>
      <c r="H47" s="80"/>
      <c r="I47" s="80">
        <v>51.6</v>
      </c>
      <c r="J47" s="80"/>
      <c r="K47" s="80"/>
      <c r="L47" s="80">
        <v>143.8</v>
      </c>
      <c r="M47" s="80"/>
      <c r="N47" s="80">
        <v>13.5</v>
      </c>
      <c r="O47" s="80"/>
      <c r="P47" s="80"/>
      <c r="Q47" s="80">
        <v>25.2</v>
      </c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72">
        <f t="shared" si="1"/>
        <v>234.1</v>
      </c>
      <c r="AG47" s="72">
        <f>B47+C47-AF47</f>
        <v>1215.9</v>
      </c>
    </row>
    <row r="48" spans="1:33" s="18" customFormat="1" ht="15.75" hidden="1">
      <c r="A48" s="110" t="s">
        <v>5</v>
      </c>
      <c r="B48" s="72"/>
      <c r="C48" s="109">
        <v>0</v>
      </c>
      <c r="D48" s="72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72">
        <f t="shared" si="1"/>
        <v>0</v>
      </c>
      <c r="AG48" s="72">
        <f>B48+C48-AF48</f>
        <v>0</v>
      </c>
    </row>
    <row r="49" spans="1:33" s="18" customFormat="1" ht="15.75">
      <c r="A49" s="110" t="s">
        <v>16</v>
      </c>
      <c r="B49" s="72">
        <v>725.5</v>
      </c>
      <c r="C49" s="109">
        <v>269.70000000000005</v>
      </c>
      <c r="D49" s="72"/>
      <c r="E49" s="72"/>
      <c r="F49" s="72"/>
      <c r="G49" s="72"/>
      <c r="H49" s="72"/>
      <c r="I49" s="72">
        <v>51.6</v>
      </c>
      <c r="J49" s="72"/>
      <c r="K49" s="72"/>
      <c r="L49" s="72">
        <v>143.7</v>
      </c>
      <c r="M49" s="72"/>
      <c r="N49" s="72">
        <v>13.5</v>
      </c>
      <c r="O49" s="72"/>
      <c r="P49" s="72"/>
      <c r="Q49" s="72">
        <v>25.2</v>
      </c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>
        <f t="shared" si="1"/>
        <v>233.99999999999997</v>
      </c>
      <c r="AG49" s="72">
        <f>B49+C49-AF49</f>
        <v>761.2</v>
      </c>
    </row>
    <row r="50" spans="1:33" s="18" customFormat="1" ht="30" hidden="1">
      <c r="A50" s="118" t="s">
        <v>34</v>
      </c>
      <c r="B50" s="72"/>
      <c r="C50" s="109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>
        <f t="shared" si="1"/>
        <v>0</v>
      </c>
      <c r="AG50" s="72">
        <f>B50+C50-AF50</f>
        <v>0</v>
      </c>
    </row>
    <row r="51" spans="1:33" s="18" customFormat="1" ht="15.75">
      <c r="A51" s="119" t="s">
        <v>23</v>
      </c>
      <c r="B51" s="72">
        <f aca="true" t="shared" si="10" ref="B51:AD51">B47-B48-B49</f>
        <v>153.79999999999995</v>
      </c>
      <c r="C51" s="109">
        <f t="shared" si="10"/>
        <v>301</v>
      </c>
      <c r="D51" s="72">
        <f t="shared" si="10"/>
        <v>0</v>
      </c>
      <c r="E51" s="72">
        <f t="shared" si="10"/>
        <v>0</v>
      </c>
      <c r="F51" s="72">
        <f t="shared" si="10"/>
        <v>0</v>
      </c>
      <c r="G51" s="72">
        <f t="shared" si="10"/>
        <v>0</v>
      </c>
      <c r="H51" s="72">
        <f t="shared" si="10"/>
        <v>0</v>
      </c>
      <c r="I51" s="72">
        <f t="shared" si="10"/>
        <v>0</v>
      </c>
      <c r="J51" s="72">
        <f t="shared" si="10"/>
        <v>0</v>
      </c>
      <c r="K51" s="72">
        <f t="shared" si="10"/>
        <v>0</v>
      </c>
      <c r="L51" s="72">
        <f t="shared" si="10"/>
        <v>0.10000000000002274</v>
      </c>
      <c r="M51" s="72">
        <f t="shared" si="10"/>
        <v>0</v>
      </c>
      <c r="N51" s="72">
        <f t="shared" si="10"/>
        <v>0</v>
      </c>
      <c r="O51" s="72">
        <f t="shared" si="10"/>
        <v>0</v>
      </c>
      <c r="P51" s="72">
        <f t="shared" si="10"/>
        <v>0</v>
      </c>
      <c r="Q51" s="72">
        <f t="shared" si="10"/>
        <v>0</v>
      </c>
      <c r="R51" s="72">
        <f t="shared" si="10"/>
        <v>0</v>
      </c>
      <c r="S51" s="72">
        <f t="shared" si="10"/>
        <v>0</v>
      </c>
      <c r="T51" s="72">
        <f t="shared" si="10"/>
        <v>0</v>
      </c>
      <c r="U51" s="72">
        <f t="shared" si="10"/>
        <v>0</v>
      </c>
      <c r="V51" s="72">
        <f t="shared" si="10"/>
        <v>0</v>
      </c>
      <c r="W51" s="72">
        <f t="shared" si="10"/>
        <v>0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/>
      <c r="AF51" s="72">
        <f t="shared" si="1"/>
        <v>0.10000000000002274</v>
      </c>
      <c r="AG51" s="72">
        <f>AG47-AG49-AG48</f>
        <v>454.70000000000005</v>
      </c>
    </row>
    <row r="52" spans="1:33" s="18" customFormat="1" ht="15" customHeight="1">
      <c r="A52" s="108" t="s">
        <v>0</v>
      </c>
      <c r="B52" s="72">
        <v>2938.61074</v>
      </c>
      <c r="C52" s="109">
        <v>1021.8999999999996</v>
      </c>
      <c r="D52" s="72"/>
      <c r="E52" s="72">
        <v>510.7</v>
      </c>
      <c r="F52" s="72">
        <v>28.2</v>
      </c>
      <c r="G52" s="72"/>
      <c r="H52" s="72">
        <v>0.5</v>
      </c>
      <c r="I52" s="72">
        <v>182.1</v>
      </c>
      <c r="J52" s="72"/>
      <c r="K52" s="72"/>
      <c r="L52" s="72">
        <v>337.6</v>
      </c>
      <c r="M52" s="72">
        <v>34.8</v>
      </c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>
        <f t="shared" si="1"/>
        <v>1093.8999999999999</v>
      </c>
      <c r="AG52" s="72">
        <f aca="true" t="shared" si="11" ref="AG52:AG59">B52+C52-AF52</f>
        <v>2866.61074</v>
      </c>
    </row>
    <row r="53" spans="1:33" s="18" customFormat="1" ht="15" customHeight="1">
      <c r="A53" s="110" t="s">
        <v>2</v>
      </c>
      <c r="B53" s="72">
        <v>1035.80464</v>
      </c>
      <c r="C53" s="109">
        <v>0.10000000000013642</v>
      </c>
      <c r="D53" s="72"/>
      <c r="E53" s="72">
        <v>3.4</v>
      </c>
      <c r="F53" s="72"/>
      <c r="G53" s="72"/>
      <c r="H53" s="72">
        <v>0.6</v>
      </c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>
        <f t="shared" si="1"/>
        <v>4</v>
      </c>
      <c r="AG53" s="72">
        <f t="shared" si="11"/>
        <v>1031.9046400000002</v>
      </c>
    </row>
    <row r="54" spans="1:34" s="18" customFormat="1" ht="15" customHeight="1">
      <c r="A54" s="108" t="s">
        <v>9</v>
      </c>
      <c r="B54" s="111">
        <v>1779.47391</v>
      </c>
      <c r="C54" s="109">
        <v>480</v>
      </c>
      <c r="D54" s="72"/>
      <c r="E54" s="72">
        <v>164.7</v>
      </c>
      <c r="F54" s="72"/>
      <c r="G54" s="72">
        <v>15</v>
      </c>
      <c r="H54" s="72"/>
      <c r="I54" s="72">
        <v>5.1</v>
      </c>
      <c r="J54" s="72"/>
      <c r="K54" s="72">
        <v>531</v>
      </c>
      <c r="L54" s="72">
        <v>54.3</v>
      </c>
      <c r="M54" s="72"/>
      <c r="N54" s="72"/>
      <c r="O54" s="72">
        <v>2.5</v>
      </c>
      <c r="P54" s="72">
        <v>15.8</v>
      </c>
      <c r="Q54" s="72">
        <v>202.7</v>
      </c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>
        <f t="shared" si="1"/>
        <v>991.0999999999999</v>
      </c>
      <c r="AG54" s="72">
        <f t="shared" si="11"/>
        <v>1268.3739099999998</v>
      </c>
      <c r="AH54" s="21"/>
    </row>
    <row r="55" spans="1:34" s="18" customFormat="1" ht="15.75">
      <c r="A55" s="110" t="s">
        <v>5</v>
      </c>
      <c r="B55" s="72">
        <v>957.228</v>
      </c>
      <c r="C55" s="109">
        <v>31.799999999999955</v>
      </c>
      <c r="D55" s="72"/>
      <c r="E55" s="72"/>
      <c r="F55" s="72"/>
      <c r="G55" s="72"/>
      <c r="H55" s="72"/>
      <c r="I55" s="72"/>
      <c r="J55" s="72"/>
      <c r="K55" s="72">
        <v>389.3</v>
      </c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>
        <f t="shared" si="1"/>
        <v>389.3</v>
      </c>
      <c r="AG55" s="72">
        <f t="shared" si="11"/>
        <v>599.7279999999998</v>
      </c>
      <c r="AH55" s="21"/>
    </row>
    <row r="56" spans="1:34" s="18" customFormat="1" ht="15" customHeight="1" hidden="1">
      <c r="A56" s="110" t="s">
        <v>1</v>
      </c>
      <c r="B56" s="72"/>
      <c r="C56" s="109">
        <v>0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>
        <f t="shared" si="1"/>
        <v>0</v>
      </c>
      <c r="AG56" s="72">
        <f t="shared" si="11"/>
        <v>0</v>
      </c>
      <c r="AH56" s="21"/>
    </row>
    <row r="57" spans="1:33" s="18" customFormat="1" ht="15.75">
      <c r="A57" s="110" t="s">
        <v>2</v>
      </c>
      <c r="B57" s="70">
        <v>157.708</v>
      </c>
      <c r="C57" s="109">
        <v>176.79999999999998</v>
      </c>
      <c r="D57" s="72"/>
      <c r="E57" s="72"/>
      <c r="F57" s="72"/>
      <c r="G57" s="72">
        <v>11.3</v>
      </c>
      <c r="H57" s="72"/>
      <c r="I57" s="72"/>
      <c r="J57" s="72"/>
      <c r="K57" s="72">
        <v>141.1</v>
      </c>
      <c r="L57" s="72"/>
      <c r="M57" s="72"/>
      <c r="N57" s="72"/>
      <c r="O57" s="72"/>
      <c r="P57" s="72"/>
      <c r="Q57" s="72">
        <v>12.6</v>
      </c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165</v>
      </c>
      <c r="AG57" s="72">
        <f t="shared" si="11"/>
        <v>169.50799999999998</v>
      </c>
    </row>
    <row r="58" spans="1:33" s="18" customFormat="1" ht="15.75">
      <c r="A58" s="110" t="s">
        <v>16</v>
      </c>
      <c r="B58" s="70">
        <v>5.1</v>
      </c>
      <c r="C58" s="109">
        <v>0</v>
      </c>
      <c r="D58" s="72"/>
      <c r="E58" s="72"/>
      <c r="F58" s="72"/>
      <c r="G58" s="72"/>
      <c r="H58" s="72"/>
      <c r="I58" s="72">
        <v>5.1</v>
      </c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>
        <f t="shared" si="1"/>
        <v>5.1</v>
      </c>
      <c r="AG58" s="72">
        <f t="shared" si="11"/>
        <v>0</v>
      </c>
    </row>
    <row r="59" spans="1:33" s="18" customFormat="1" ht="15.75" hidden="1">
      <c r="A59" s="110" t="s">
        <v>15</v>
      </c>
      <c r="B59" s="72"/>
      <c r="C59" s="109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>
        <f t="shared" si="1"/>
        <v>0</v>
      </c>
      <c r="AG59" s="72">
        <f t="shared" si="11"/>
        <v>0</v>
      </c>
    </row>
    <row r="60" spans="1:33" s="18" customFormat="1" ht="15.75">
      <c r="A60" s="110" t="s">
        <v>23</v>
      </c>
      <c r="B60" s="72">
        <f aca="true" t="shared" si="12" ref="B60:AD60">B54-B55-B57-B59-B56-B58</f>
        <v>659.43791</v>
      </c>
      <c r="C60" s="109">
        <f t="shared" si="12"/>
        <v>271.4000000000001</v>
      </c>
      <c r="D60" s="72">
        <f t="shared" si="12"/>
        <v>0</v>
      </c>
      <c r="E60" s="72">
        <f>E54-E55-E57-E59-E56-E58</f>
        <v>164.7</v>
      </c>
      <c r="F60" s="72">
        <f t="shared" si="12"/>
        <v>0</v>
      </c>
      <c r="G60" s="72">
        <f t="shared" si="12"/>
        <v>3.6999999999999993</v>
      </c>
      <c r="H60" s="72">
        <f t="shared" si="12"/>
        <v>0</v>
      </c>
      <c r="I60" s="72">
        <f t="shared" si="12"/>
        <v>0</v>
      </c>
      <c r="J60" s="72">
        <f t="shared" si="12"/>
        <v>0</v>
      </c>
      <c r="K60" s="72">
        <f t="shared" si="12"/>
        <v>0.5999999999999943</v>
      </c>
      <c r="L60" s="72">
        <f t="shared" si="12"/>
        <v>54.3</v>
      </c>
      <c r="M60" s="72">
        <f t="shared" si="12"/>
        <v>0</v>
      </c>
      <c r="N60" s="72">
        <f t="shared" si="12"/>
        <v>0</v>
      </c>
      <c r="O60" s="72">
        <f t="shared" si="12"/>
        <v>2.5</v>
      </c>
      <c r="P60" s="72">
        <f t="shared" si="12"/>
        <v>15.8</v>
      </c>
      <c r="Q60" s="72">
        <f t="shared" si="12"/>
        <v>190.1</v>
      </c>
      <c r="R60" s="72">
        <f t="shared" si="12"/>
        <v>0</v>
      </c>
      <c r="S60" s="72">
        <f t="shared" si="12"/>
        <v>0</v>
      </c>
      <c r="T60" s="72">
        <f t="shared" si="12"/>
        <v>0</v>
      </c>
      <c r="U60" s="72">
        <f t="shared" si="12"/>
        <v>0</v>
      </c>
      <c r="V60" s="72">
        <f t="shared" si="12"/>
        <v>0</v>
      </c>
      <c r="W60" s="72">
        <f t="shared" si="12"/>
        <v>0</v>
      </c>
      <c r="X60" s="72">
        <f t="shared" si="12"/>
        <v>0</v>
      </c>
      <c r="Y60" s="72">
        <f t="shared" si="12"/>
        <v>0</v>
      </c>
      <c r="Z60" s="72">
        <f t="shared" si="12"/>
        <v>0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/>
      <c r="AF60" s="72">
        <f>AF54-AF55-AF57-AF59-AF56-AF58</f>
        <v>431.69999999999993</v>
      </c>
      <c r="AG60" s="72">
        <f>AG54-AG55-AG57-AG59-AG56-AG58</f>
        <v>499.13791</v>
      </c>
    </row>
    <row r="61" spans="1:33" s="18" customFormat="1" ht="15" customHeight="1">
      <c r="A61" s="108" t="s">
        <v>10</v>
      </c>
      <c r="B61" s="72">
        <v>179.3</v>
      </c>
      <c r="C61" s="109">
        <v>104.4</v>
      </c>
      <c r="D61" s="72"/>
      <c r="E61" s="72"/>
      <c r="F61" s="72"/>
      <c r="G61" s="72"/>
      <c r="H61" s="72"/>
      <c r="I61" s="72"/>
      <c r="J61" s="72"/>
      <c r="K61" s="72"/>
      <c r="L61" s="72">
        <v>1.1</v>
      </c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>
        <f aca="true" t="shared" si="13" ref="AF61:AF92">SUM(D61:AD61)</f>
        <v>1.1</v>
      </c>
      <c r="AG61" s="72">
        <f aca="true" t="shared" si="14" ref="AG61:AG67">B61+C61-AF61</f>
        <v>282.6</v>
      </c>
    </row>
    <row r="62" spans="1:33" s="18" customFormat="1" ht="15" customHeight="1">
      <c r="A62" s="108" t="s">
        <v>11</v>
      </c>
      <c r="B62" s="72">
        <v>2155.84575</v>
      </c>
      <c r="C62" s="109">
        <v>390.0000000000002</v>
      </c>
      <c r="D62" s="72"/>
      <c r="E62" s="72">
        <v>1</v>
      </c>
      <c r="F62" s="72">
        <v>93.6</v>
      </c>
      <c r="G62" s="72">
        <v>110</v>
      </c>
      <c r="H62" s="72"/>
      <c r="I62" s="72">
        <v>157.4</v>
      </c>
      <c r="J62" s="72"/>
      <c r="K62" s="72">
        <v>908.3</v>
      </c>
      <c r="L62" s="72"/>
      <c r="M62" s="72"/>
      <c r="N62" s="72"/>
      <c r="O62" s="72"/>
      <c r="P62" s="72">
        <v>5.2</v>
      </c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1275.5</v>
      </c>
      <c r="AG62" s="72">
        <f t="shared" si="14"/>
        <v>1270.3457500000004</v>
      </c>
    </row>
    <row r="63" spans="1:34" s="18" customFormat="1" ht="15.75">
      <c r="A63" s="110" t="s">
        <v>5</v>
      </c>
      <c r="B63" s="72">
        <v>1502.442</v>
      </c>
      <c r="C63" s="109">
        <v>78.09999999999991</v>
      </c>
      <c r="D63" s="72"/>
      <c r="E63" s="72"/>
      <c r="F63" s="72"/>
      <c r="G63" s="72"/>
      <c r="H63" s="72"/>
      <c r="I63" s="72"/>
      <c r="J63" s="72"/>
      <c r="K63" s="72">
        <v>737.6</v>
      </c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>
        <f t="shared" si="13"/>
        <v>737.6</v>
      </c>
      <c r="AG63" s="72">
        <f t="shared" si="14"/>
        <v>842.9419999999999</v>
      </c>
      <c r="AH63" s="120"/>
    </row>
    <row r="64" spans="1:34" s="18" customFormat="1" ht="15.75" hidden="1">
      <c r="A64" s="110" t="s">
        <v>3</v>
      </c>
      <c r="B64" s="72"/>
      <c r="C64" s="109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>
        <f t="shared" si="13"/>
        <v>0</v>
      </c>
      <c r="AG64" s="72">
        <f t="shared" si="14"/>
        <v>0</v>
      </c>
      <c r="AH64" s="21"/>
    </row>
    <row r="65" spans="1:34" s="18" customFormat="1" ht="15.75">
      <c r="A65" s="110" t="s">
        <v>1</v>
      </c>
      <c r="B65" s="72">
        <v>27.1</v>
      </c>
      <c r="C65" s="109">
        <v>31.400000000000002</v>
      </c>
      <c r="D65" s="72"/>
      <c r="E65" s="72"/>
      <c r="F65" s="72">
        <v>4.2</v>
      </c>
      <c r="G65" s="72"/>
      <c r="H65" s="72"/>
      <c r="I65" s="72">
        <v>9</v>
      </c>
      <c r="J65" s="72"/>
      <c r="K65" s="72">
        <v>4.8</v>
      </c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>
        <f t="shared" si="13"/>
        <v>18</v>
      </c>
      <c r="AG65" s="72">
        <f t="shared" si="14"/>
        <v>40.5</v>
      </c>
      <c r="AH65" s="21"/>
    </row>
    <row r="66" spans="1:33" s="18" customFormat="1" ht="15.75">
      <c r="A66" s="110" t="s">
        <v>2</v>
      </c>
      <c r="B66" s="72">
        <v>110.139</v>
      </c>
      <c r="C66" s="109">
        <v>86.39999999999999</v>
      </c>
      <c r="D66" s="72"/>
      <c r="E66" s="72">
        <v>1</v>
      </c>
      <c r="F66" s="72">
        <v>2.8</v>
      </c>
      <c r="G66" s="72"/>
      <c r="H66" s="72"/>
      <c r="I66" s="72">
        <v>12.3</v>
      </c>
      <c r="J66" s="72"/>
      <c r="K66" s="72">
        <v>8.3</v>
      </c>
      <c r="L66" s="72"/>
      <c r="M66" s="72"/>
      <c r="N66" s="72"/>
      <c r="O66" s="72"/>
      <c r="P66" s="72">
        <v>0.5</v>
      </c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>
        <f t="shared" si="13"/>
        <v>24.900000000000002</v>
      </c>
      <c r="AG66" s="72">
        <f t="shared" si="14"/>
        <v>171.63899999999998</v>
      </c>
    </row>
    <row r="67" spans="1:33" s="18" customFormat="1" ht="15.75">
      <c r="A67" s="110" t="s">
        <v>16</v>
      </c>
      <c r="B67" s="72">
        <v>110</v>
      </c>
      <c r="C67" s="109">
        <v>110</v>
      </c>
      <c r="D67" s="72"/>
      <c r="E67" s="72"/>
      <c r="F67" s="72"/>
      <c r="G67" s="72">
        <v>110</v>
      </c>
      <c r="H67" s="72"/>
      <c r="I67" s="72">
        <v>110</v>
      </c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>
        <f t="shared" si="13"/>
        <v>220</v>
      </c>
      <c r="AG67" s="72">
        <f t="shared" si="14"/>
        <v>0</v>
      </c>
    </row>
    <row r="68" spans="1:33" s="18" customFormat="1" ht="15.75">
      <c r="A68" s="110" t="s">
        <v>23</v>
      </c>
      <c r="B68" s="72">
        <f aca="true" t="shared" si="15" ref="B68:AD68">B62-B63-B66-B67-B65-B64</f>
        <v>406.1647499999999</v>
      </c>
      <c r="C68" s="109">
        <f t="shared" si="15"/>
        <v>84.10000000000034</v>
      </c>
      <c r="D68" s="72">
        <f t="shared" si="15"/>
        <v>0</v>
      </c>
      <c r="E68" s="72">
        <f t="shared" si="15"/>
        <v>0</v>
      </c>
      <c r="F68" s="72">
        <f t="shared" si="15"/>
        <v>86.6</v>
      </c>
      <c r="G68" s="72">
        <f t="shared" si="15"/>
        <v>0</v>
      </c>
      <c r="H68" s="72">
        <f t="shared" si="15"/>
        <v>0</v>
      </c>
      <c r="I68" s="72">
        <f t="shared" si="15"/>
        <v>26.099999999999994</v>
      </c>
      <c r="J68" s="72">
        <f t="shared" si="15"/>
        <v>0</v>
      </c>
      <c r="K68" s="72">
        <f t="shared" si="15"/>
        <v>157.5999999999999</v>
      </c>
      <c r="L68" s="72">
        <f t="shared" si="15"/>
        <v>0</v>
      </c>
      <c r="M68" s="72">
        <f t="shared" si="15"/>
        <v>0</v>
      </c>
      <c r="N68" s="72">
        <f t="shared" si="15"/>
        <v>0</v>
      </c>
      <c r="O68" s="72">
        <f t="shared" si="15"/>
        <v>0</v>
      </c>
      <c r="P68" s="72">
        <f t="shared" si="15"/>
        <v>4.7</v>
      </c>
      <c r="Q68" s="72">
        <f t="shared" si="15"/>
        <v>0</v>
      </c>
      <c r="R68" s="72">
        <f t="shared" si="15"/>
        <v>0</v>
      </c>
      <c r="S68" s="72">
        <f t="shared" si="15"/>
        <v>0</v>
      </c>
      <c r="T68" s="72">
        <f t="shared" si="15"/>
        <v>0</v>
      </c>
      <c r="U68" s="72">
        <f t="shared" si="15"/>
        <v>0</v>
      </c>
      <c r="V68" s="72">
        <f t="shared" si="15"/>
        <v>0</v>
      </c>
      <c r="W68" s="72">
        <f t="shared" si="15"/>
        <v>0</v>
      </c>
      <c r="X68" s="72">
        <f t="shared" si="15"/>
        <v>0</v>
      </c>
      <c r="Y68" s="72">
        <f t="shared" si="15"/>
        <v>0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/>
      <c r="AF68" s="72">
        <f t="shared" si="13"/>
        <v>274.9999999999999</v>
      </c>
      <c r="AG68" s="72">
        <f>AG62-AG63-AG66-AG67-AG65-AG64</f>
        <v>215.26475000000053</v>
      </c>
    </row>
    <row r="69" spans="1:33" ht="31.5">
      <c r="A69" s="4" t="s">
        <v>45</v>
      </c>
      <c r="B69" s="67">
        <v>3529.6</v>
      </c>
      <c r="C69" s="22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.7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1.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2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v>971.5</v>
      </c>
      <c r="C72" s="22">
        <v>727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438.2</v>
      </c>
      <c r="AG72" s="82">
        <f t="shared" si="16"/>
        <v>1260.3</v>
      </c>
    </row>
    <row r="73" spans="1:33" ht="15" customHeight="1">
      <c r="A73" s="3" t="s">
        <v>5</v>
      </c>
      <c r="B73" s="22">
        <v>43.3</v>
      </c>
      <c r="C73" s="22">
        <v>43.2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82">
        <f t="shared" si="16"/>
        <v>41.1</v>
      </c>
    </row>
    <row r="74" spans="1:33" ht="15" customHeight="1">
      <c r="A74" s="3" t="s">
        <v>2</v>
      </c>
      <c r="B74" s="22">
        <v>175.8</v>
      </c>
      <c r="C74" s="22">
        <v>175.8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154.90000000000003</v>
      </c>
    </row>
    <row r="75" spans="1:33" ht="15" customHeight="1">
      <c r="A75" s="3" t="s">
        <v>16</v>
      </c>
      <c r="B75" s="22">
        <v>51.1</v>
      </c>
      <c r="C75" s="22">
        <v>0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82">
        <f t="shared" si="16"/>
        <v>51.1</v>
      </c>
    </row>
    <row r="76" spans="1:33" s="11" customFormat="1" ht="15.75">
      <c r="A76" s="12" t="s">
        <v>48</v>
      </c>
      <c r="B76" s="22">
        <v>149.5</v>
      </c>
      <c r="C76" s="22">
        <v>24.999999999999986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30.4</v>
      </c>
      <c r="AG76" s="82">
        <f t="shared" si="16"/>
        <v>144.1</v>
      </c>
    </row>
    <row r="77" spans="1:33" s="11" customFormat="1" ht="15.75">
      <c r="A77" s="3" t="s">
        <v>5</v>
      </c>
      <c r="B77" s="22">
        <v>116.5</v>
      </c>
      <c r="C77" s="22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25.4</v>
      </c>
      <c r="AG77" s="82">
        <f t="shared" si="16"/>
        <v>98.9</v>
      </c>
    </row>
    <row r="78" spans="1:33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.75">
      <c r="A80" s="3" t="s">
        <v>2</v>
      </c>
      <c r="B80" s="22">
        <v>7.4</v>
      </c>
      <c r="C80" s="22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.7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.7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.7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.7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.7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1.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1.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.7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.75">
      <c r="A89" s="4" t="s">
        <v>50</v>
      </c>
      <c r="B89" s="22">
        <v>3250</v>
      </c>
      <c r="C89" s="22">
        <v>2269.1000000000004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1895.3999999999999</v>
      </c>
      <c r="AG89" s="67">
        <f t="shared" si="16"/>
        <v>3623.7000000000007</v>
      </c>
      <c r="AH89" s="11"/>
      <c r="AI89" s="86"/>
    </row>
    <row r="90" spans="1:34" ht="15.75">
      <c r="A90" s="4" t="s">
        <v>51</v>
      </c>
      <c r="B90" s="22">
        <f>2457.1+1062.3</f>
        <v>3519.3999999999996</v>
      </c>
      <c r="C90" s="22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2346.2</v>
      </c>
      <c r="AG90" s="67">
        <f t="shared" si="16"/>
        <v>1173.1999999999998</v>
      </c>
      <c r="AH90" s="11"/>
    </row>
    <row r="91" spans="1:34" ht="15.75">
      <c r="A91" s="4" t="s">
        <v>25</v>
      </c>
      <c r="B91" s="22">
        <v>101.3</v>
      </c>
      <c r="C91" s="22">
        <v>50.89999999999999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152.2</v>
      </c>
      <c r="AH91" s="11"/>
    </row>
    <row r="92" spans="1:34" ht="15.75">
      <c r="A92" s="4" t="s">
        <v>37</v>
      </c>
      <c r="B92" s="22">
        <v>0</v>
      </c>
      <c r="C92" s="22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123241.56021000001</v>
      </c>
      <c r="C94" s="35">
        <f t="shared" si="17"/>
        <v>20294.70000000001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12926.4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0</v>
      </c>
      <c r="S94" s="83">
        <f t="shared" si="17"/>
        <v>0</v>
      </c>
      <c r="T94" s="83">
        <f t="shared" si="17"/>
        <v>0</v>
      </c>
      <c r="U94" s="83">
        <f t="shared" si="17"/>
        <v>0</v>
      </c>
      <c r="V94" s="83">
        <f t="shared" si="17"/>
        <v>0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58134.399999999994</v>
      </c>
      <c r="AG94" s="84">
        <f>AG10+AG15+AG24+AG33+AG47+AG52+AG54+AG61+AG62+AG69+AG71+AG72+AG76+AG81+AG82+AG83+AG88+AG89+AG90+AG91+AG70+AG40+AG92</f>
        <v>85401.86021</v>
      </c>
    </row>
    <row r="95" spans="1:33" ht="15.75">
      <c r="A95" s="3" t="s">
        <v>5</v>
      </c>
      <c r="B95" s="22">
        <f aca="true" t="shared" si="18" ref="B95:AD95">B11+B17+B26+B34+B55+B63+B73+B41+B77+B48</f>
        <v>55081.600000000006</v>
      </c>
      <c r="C95" s="22">
        <f t="shared" si="18"/>
        <v>1420.0000000000016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27663.499999999996</v>
      </c>
      <c r="AG95" s="71">
        <f>B95+C95-AF95</f>
        <v>28838.10000000001</v>
      </c>
    </row>
    <row r="96" spans="1:33" ht="15.75">
      <c r="A96" s="3" t="s">
        <v>2</v>
      </c>
      <c r="B96" s="22">
        <f aca="true" t="shared" si="19" ref="B96:AD96">B12+B20+B29+B36+B57+B66+B44+B80+B74+B53</f>
        <v>4875.056640000001</v>
      </c>
      <c r="C96" s="22">
        <f t="shared" si="19"/>
        <v>3486.500000000001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115.6</v>
      </c>
      <c r="I96" s="67">
        <f t="shared" si="19"/>
        <v>186.9</v>
      </c>
      <c r="J96" s="67">
        <f t="shared" si="19"/>
        <v>15</v>
      </c>
      <c r="K96" s="67">
        <f t="shared" si="19"/>
        <v>293.49999999999994</v>
      </c>
      <c r="L96" s="67">
        <f t="shared" si="19"/>
        <v>167</v>
      </c>
      <c r="M96" s="67">
        <f t="shared" si="19"/>
        <v>27.2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1417.1</v>
      </c>
      <c r="AG96" s="71">
        <f>B96+C96-AF96</f>
        <v>6944.456640000002</v>
      </c>
    </row>
    <row r="97" spans="1:33" ht="15.75">
      <c r="A97" s="3" t="s">
        <v>3</v>
      </c>
      <c r="B97" s="22">
        <f aca="true" t="shared" si="20" ref="B97:AA97">B18+B27+B42+B64+B78</f>
        <v>0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4075.4</v>
      </c>
      <c r="C98" s="22">
        <f t="shared" si="21"/>
        <v>2822.9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530.3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1792.4</v>
      </c>
      <c r="AG98" s="71">
        <f>B98+C98-AF98</f>
        <v>5105.9</v>
      </c>
    </row>
    <row r="99" spans="1:33" ht="15.75">
      <c r="A99" s="3" t="s">
        <v>16</v>
      </c>
      <c r="B99" s="22">
        <f aca="true" t="shared" si="22" ref="B99:X99">B21+B30+B49+B37+B58+B13+B75+B67</f>
        <v>2045.6999999999998</v>
      </c>
      <c r="C99" s="22">
        <f t="shared" si="22"/>
        <v>418.4000000000001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965.1000000000001</v>
      </c>
      <c r="AG99" s="71">
        <f>B99+C99-AF99</f>
        <v>1498.9999999999998</v>
      </c>
    </row>
    <row r="100" spans="1:33" ht="12.75">
      <c r="A100" s="1" t="s">
        <v>35</v>
      </c>
      <c r="B100" s="2">
        <f aca="true" t="shared" si="24" ref="B100:AD100">B94-B95-B96-B97-B98-B99</f>
        <v>57163.803570000004</v>
      </c>
      <c r="C100" s="2">
        <f t="shared" si="24"/>
        <v>12146.900000000012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11.300000000000011</v>
      </c>
      <c r="I100" s="85">
        <f t="shared" si="24"/>
        <v>1054.8</v>
      </c>
      <c r="J100" s="85">
        <f t="shared" si="24"/>
        <v>2418.7</v>
      </c>
      <c r="K100" s="85">
        <f t="shared" si="24"/>
        <v>527.3000000000011</v>
      </c>
      <c r="L100" s="85">
        <f t="shared" si="24"/>
        <v>11076.899999999996</v>
      </c>
      <c r="M100" s="85">
        <f t="shared" si="24"/>
        <v>101.5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0</v>
      </c>
      <c r="S100" s="85">
        <f t="shared" si="24"/>
        <v>0</v>
      </c>
      <c r="T100" s="85">
        <f t="shared" si="24"/>
        <v>0</v>
      </c>
      <c r="U100" s="85">
        <f t="shared" si="24"/>
        <v>0</v>
      </c>
      <c r="V100" s="85">
        <f t="shared" si="24"/>
        <v>0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26296.3</v>
      </c>
      <c r="AG100" s="85">
        <f>AG94-AG95-AG96-AG97-AG98-AG99</f>
        <v>43014.40356999999</v>
      </c>
    </row>
    <row r="101" spans="1:33" s="32" customFormat="1" ht="15.7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46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52" sqref="AG5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0" t="s">
        <v>12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</row>
    <row r="2" spans="1:33" ht="22.5" customHeight="1">
      <c r="A2" s="161" t="s">
        <v>53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54</v>
      </c>
      <c r="C4" s="90" t="s">
        <v>18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8">
        <v>13</v>
      </c>
      <c r="M4" s="8">
        <v>14</v>
      </c>
      <c r="N4" s="8">
        <v>15</v>
      </c>
      <c r="O4" s="8">
        <v>16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26</v>
      </c>
      <c r="V4" s="8">
        <v>27</v>
      </c>
      <c r="W4" s="8">
        <v>28</v>
      </c>
      <c r="X4" s="19">
        <v>27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41182.6</v>
      </c>
      <c r="C7" s="93">
        <v>19662.3</v>
      </c>
      <c r="D7" s="38">
        <f>9589.8+11001.5</f>
        <v>20591.3</v>
      </c>
      <c r="E7" s="38"/>
      <c r="F7" s="38"/>
      <c r="G7" s="38"/>
      <c r="H7" s="56"/>
      <c r="I7" s="38"/>
      <c r="J7" s="39"/>
      <c r="K7" s="38">
        <v>20591.3</v>
      </c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C7+D7+K7-AF16-AF25</f>
        <v>19140.8</v>
      </c>
      <c r="AF7" s="54"/>
      <c r="AG7" s="40"/>
    </row>
    <row r="8" spans="1:55" ht="18" customHeight="1">
      <c r="A8" s="47" t="s">
        <v>30</v>
      </c>
      <c r="B8" s="33">
        <f>SUM(E8:AB8)</f>
        <v>119053.87000000002</v>
      </c>
      <c r="C8" s="96">
        <v>68643.50000000003</v>
      </c>
      <c r="D8" s="59">
        <v>10533.6</v>
      </c>
      <c r="E8" s="60">
        <v>3158.9</v>
      </c>
      <c r="F8" s="61">
        <v>2782.5</v>
      </c>
      <c r="G8" s="61">
        <v>5296</v>
      </c>
      <c r="H8" s="61">
        <v>5413.7</v>
      </c>
      <c r="I8" s="61">
        <v>12819.1</v>
      </c>
      <c r="J8" s="61">
        <v>6435.8</v>
      </c>
      <c r="K8" s="62">
        <v>3658.4</v>
      </c>
      <c r="L8" s="61">
        <v>3229.3</v>
      </c>
      <c r="M8" s="61">
        <v>4130.97</v>
      </c>
      <c r="N8" s="61">
        <v>9466.1</v>
      </c>
      <c r="O8" s="61">
        <v>8841.4</v>
      </c>
      <c r="P8" s="61">
        <v>9028.4</v>
      </c>
      <c r="Q8" s="61">
        <v>8858.2</v>
      </c>
      <c r="R8" s="61">
        <v>5135.8</v>
      </c>
      <c r="S8" s="63">
        <v>4486.6</v>
      </c>
      <c r="T8" s="63">
        <v>6637.1</v>
      </c>
      <c r="U8" s="61">
        <v>4247</v>
      </c>
      <c r="V8" s="61">
        <v>4296.6</v>
      </c>
      <c r="W8" s="61">
        <v>11132</v>
      </c>
      <c r="X8" s="62"/>
      <c r="Y8" s="62"/>
      <c r="Z8" s="62"/>
      <c r="AA8" s="62"/>
      <c r="AB8" s="61"/>
      <c r="AC8" s="64"/>
      <c r="AD8" s="64"/>
      <c r="AE8" s="65">
        <f>SUM(D8:AD8)+C8-AF9+AF16+AF25</f>
        <v>106387.87000000001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168012.69999999998</v>
      </c>
      <c r="C9" s="105">
        <f aca="true" t="shared" si="0" ref="C9:AD9">C10+C15+C24+C33+C47+C52+C54+C61+C62+C71+C72+C88+C76+C81+C83+C82+C69+C89+C90+C91+C70+C40+C92</f>
        <v>12960.900000000012</v>
      </c>
      <c r="D9" s="68">
        <f t="shared" si="0"/>
        <v>146.5</v>
      </c>
      <c r="E9" s="68">
        <f t="shared" si="0"/>
        <v>1225.5</v>
      </c>
      <c r="F9" s="68">
        <f t="shared" si="0"/>
        <v>2604.8</v>
      </c>
      <c r="G9" s="68">
        <f t="shared" si="0"/>
        <v>1149.3</v>
      </c>
      <c r="H9" s="68">
        <f t="shared" si="0"/>
        <v>143</v>
      </c>
      <c r="I9" s="68">
        <f t="shared" si="0"/>
        <v>1967</v>
      </c>
      <c r="J9" s="68">
        <f t="shared" si="0"/>
        <v>2521.6</v>
      </c>
      <c r="K9" s="68">
        <f t="shared" si="0"/>
        <v>12931.3</v>
      </c>
      <c r="L9" s="68">
        <f t="shared" si="0"/>
        <v>26458.999999999996</v>
      </c>
      <c r="M9" s="68">
        <f t="shared" si="0"/>
        <v>760.6</v>
      </c>
      <c r="N9" s="68">
        <f t="shared" si="0"/>
        <v>667.7</v>
      </c>
      <c r="O9" s="68">
        <f t="shared" si="0"/>
        <v>2730</v>
      </c>
      <c r="P9" s="68">
        <f t="shared" si="0"/>
        <v>2114.7</v>
      </c>
      <c r="Q9" s="68">
        <f t="shared" si="0"/>
        <v>2718.2999999999997</v>
      </c>
      <c r="R9" s="68">
        <f t="shared" si="0"/>
        <v>333.20000000000005</v>
      </c>
      <c r="S9" s="68">
        <f t="shared" si="0"/>
        <v>2257</v>
      </c>
      <c r="T9" s="68">
        <f t="shared" si="0"/>
        <v>3792.8999999999996</v>
      </c>
      <c r="U9" s="68">
        <f t="shared" si="0"/>
        <v>62153.59999999999</v>
      </c>
      <c r="V9" s="68">
        <f t="shared" si="0"/>
        <v>5601</v>
      </c>
      <c r="W9" s="68">
        <f t="shared" si="0"/>
        <v>1270.2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133547.2</v>
      </c>
      <c r="AG9" s="69">
        <f>AG10+AG15+AG24+AG33+AG47+AG52+AG54+AG61+AG62+AG71+AG72+AG76+AG88+AG81+AG83+AG82+AG69+AG89+AG91+AG90+AG70+AG40+AG92</f>
        <v>47426.4</v>
      </c>
      <c r="AH9" s="41"/>
      <c r="AI9" s="41"/>
    </row>
    <row r="10" spans="1:33" ht="15.75">
      <c r="A10" s="4" t="s">
        <v>4</v>
      </c>
      <c r="B10" s="72">
        <v>19680.5</v>
      </c>
      <c r="C10" s="109">
        <v>58.600000000000364</v>
      </c>
      <c r="D10" s="67">
        <v>38.7</v>
      </c>
      <c r="E10" s="67">
        <v>164.7</v>
      </c>
      <c r="F10" s="67">
        <v>18.3</v>
      </c>
      <c r="G10" s="67">
        <v>70.9</v>
      </c>
      <c r="H10" s="67">
        <v>29.7</v>
      </c>
      <c r="I10" s="67">
        <v>34.8</v>
      </c>
      <c r="J10" s="70"/>
      <c r="K10" s="67">
        <f>531.6+4.9</f>
        <v>536.5</v>
      </c>
      <c r="L10" s="67">
        <v>4509.6</v>
      </c>
      <c r="M10" s="67">
        <v>56.1</v>
      </c>
      <c r="N10" s="67">
        <v>8.5</v>
      </c>
      <c r="O10" s="71">
        <v>41</v>
      </c>
      <c r="P10" s="67">
        <v>4</v>
      </c>
      <c r="Q10" s="67">
        <v>52</v>
      </c>
      <c r="R10" s="67">
        <v>75.9</v>
      </c>
      <c r="S10" s="72">
        <v>988.9</v>
      </c>
      <c r="T10" s="72">
        <v>757.7</v>
      </c>
      <c r="U10" s="72">
        <v>5366.6</v>
      </c>
      <c r="V10" s="72">
        <v>3416.7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16170.600000000002</v>
      </c>
      <c r="AG10" s="71">
        <f>B10+C10-AF10</f>
        <v>3568.4999999999964</v>
      </c>
    </row>
    <row r="11" spans="1:33" ht="15.75">
      <c r="A11" s="3" t="s">
        <v>5</v>
      </c>
      <c r="B11" s="72">
        <f>17936.2+44.3</f>
        <v>17980.5</v>
      </c>
      <c r="C11" s="109">
        <v>33.30000000000109</v>
      </c>
      <c r="D11" s="67">
        <v>37</v>
      </c>
      <c r="E11" s="67">
        <v>143.9</v>
      </c>
      <c r="F11" s="67">
        <v>8.8</v>
      </c>
      <c r="G11" s="67">
        <v>37.8</v>
      </c>
      <c r="H11" s="67">
        <v>16.1</v>
      </c>
      <c r="I11" s="67">
        <v>28.3</v>
      </c>
      <c r="J11" s="72"/>
      <c r="K11" s="67">
        <v>518.4</v>
      </c>
      <c r="L11" s="67">
        <v>4342.6</v>
      </c>
      <c r="M11" s="67"/>
      <c r="N11" s="67"/>
      <c r="O11" s="71">
        <v>40</v>
      </c>
      <c r="P11" s="67"/>
      <c r="Q11" s="67">
        <v>45.8</v>
      </c>
      <c r="R11" s="67"/>
      <c r="S11" s="72">
        <v>973</v>
      </c>
      <c r="T11" s="72">
        <v>734.6</v>
      </c>
      <c r="U11" s="72">
        <v>5248.7</v>
      </c>
      <c r="V11" s="72">
        <v>3382.5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15557.5</v>
      </c>
      <c r="AG11" s="71">
        <f>B11+C11-AF11</f>
        <v>2456.300000000003</v>
      </c>
    </row>
    <row r="12" spans="1:33" ht="15.75">
      <c r="A12" s="3" t="s">
        <v>2</v>
      </c>
      <c r="B12" s="70">
        <f>661.4+0.3</f>
        <v>661.6999999999999</v>
      </c>
      <c r="C12" s="109">
        <v>0</v>
      </c>
      <c r="D12" s="67"/>
      <c r="E12" s="67"/>
      <c r="F12" s="67"/>
      <c r="G12" s="67"/>
      <c r="H12" s="67">
        <v>3.4</v>
      </c>
      <c r="I12" s="67"/>
      <c r="J12" s="72"/>
      <c r="K12" s="67"/>
      <c r="L12" s="67">
        <v>167</v>
      </c>
      <c r="M12" s="67"/>
      <c r="N12" s="67"/>
      <c r="O12" s="71"/>
      <c r="P12" s="67"/>
      <c r="Q12" s="67"/>
      <c r="R12" s="67">
        <v>1.4</v>
      </c>
      <c r="S12" s="72"/>
      <c r="T12" s="72">
        <v>0.3</v>
      </c>
      <c r="U12" s="72">
        <v>83.5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255.60000000000002</v>
      </c>
      <c r="AG12" s="71">
        <f>B12+C12-AF12</f>
        <v>406.0999999999999</v>
      </c>
    </row>
    <row r="13" spans="1:33" ht="15.7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.75">
      <c r="A14" s="3" t="s">
        <v>23</v>
      </c>
      <c r="B14" s="72">
        <f aca="true" t="shared" si="2" ref="B14:Y14">B10-B11-B12-B13</f>
        <v>1038.3000000000002</v>
      </c>
      <c r="C14" s="109">
        <f t="shared" si="2"/>
        <v>25.299999999999272</v>
      </c>
      <c r="D14" s="67">
        <f t="shared" si="2"/>
        <v>1.7000000000000028</v>
      </c>
      <c r="E14" s="67">
        <f t="shared" si="2"/>
        <v>20.799999999999983</v>
      </c>
      <c r="F14" s="67">
        <f t="shared" si="2"/>
        <v>9.5</v>
      </c>
      <c r="G14" s="67">
        <f t="shared" si="2"/>
        <v>33.10000000000001</v>
      </c>
      <c r="H14" s="67">
        <f t="shared" si="2"/>
        <v>10.199999999999998</v>
      </c>
      <c r="I14" s="67">
        <f t="shared" si="2"/>
        <v>6.4999999999999964</v>
      </c>
      <c r="J14" s="67">
        <f t="shared" si="2"/>
        <v>0</v>
      </c>
      <c r="K14" s="67">
        <f t="shared" si="2"/>
        <v>18.100000000000023</v>
      </c>
      <c r="L14" s="67">
        <f t="shared" si="2"/>
        <v>0</v>
      </c>
      <c r="M14" s="67">
        <f t="shared" si="2"/>
        <v>56.1</v>
      </c>
      <c r="N14" s="67">
        <f t="shared" si="2"/>
        <v>8.5</v>
      </c>
      <c r="O14" s="67">
        <f t="shared" si="2"/>
        <v>1</v>
      </c>
      <c r="P14" s="67">
        <f t="shared" si="2"/>
        <v>4</v>
      </c>
      <c r="Q14" s="67">
        <f t="shared" si="2"/>
        <v>6.200000000000003</v>
      </c>
      <c r="R14" s="67">
        <f t="shared" si="2"/>
        <v>74.5</v>
      </c>
      <c r="S14" s="67">
        <f t="shared" si="2"/>
        <v>15.899999999999977</v>
      </c>
      <c r="T14" s="67">
        <f t="shared" si="2"/>
        <v>22.800000000000022</v>
      </c>
      <c r="U14" s="67">
        <f t="shared" si="2"/>
        <v>34.400000000000546</v>
      </c>
      <c r="V14" s="67">
        <f t="shared" si="2"/>
        <v>34.19999999999982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357.5000000000004</v>
      </c>
      <c r="AG14" s="71">
        <f>AG10-AG11-AG12-AG13</f>
        <v>706.0999999999935</v>
      </c>
    </row>
    <row r="15" spans="1:35" ht="15" customHeight="1">
      <c r="A15" s="4" t="s">
        <v>6</v>
      </c>
      <c r="B15" s="72">
        <f>68651.3+19179.6</f>
        <v>87830.9</v>
      </c>
      <c r="C15" s="109">
        <v>23.70000000001164</v>
      </c>
      <c r="D15" s="73"/>
      <c r="E15" s="73">
        <v>151.3</v>
      </c>
      <c r="F15" s="67">
        <v>0.7</v>
      </c>
      <c r="G15" s="67">
        <v>306.3</v>
      </c>
      <c r="H15" s="67"/>
      <c r="I15" s="67">
        <v>593.7</v>
      </c>
      <c r="J15" s="72">
        <v>110</v>
      </c>
      <c r="K15" s="67">
        <f>1396.3+9132.6</f>
        <v>10528.9</v>
      </c>
      <c r="L15" s="67">
        <v>10728.8</v>
      </c>
      <c r="M15" s="67">
        <v>272.5</v>
      </c>
      <c r="N15" s="67">
        <v>616.2</v>
      </c>
      <c r="O15" s="71">
        <v>58.8</v>
      </c>
      <c r="P15" s="67">
        <v>521.9</v>
      </c>
      <c r="Q15" s="71"/>
      <c r="R15" s="67">
        <v>257.8</v>
      </c>
      <c r="S15" s="72">
        <v>1268.1</v>
      </c>
      <c r="T15" s="72">
        <v>880.8</v>
      </c>
      <c r="U15" s="72">
        <f>27792.6+9963.6</f>
        <v>37756.2</v>
      </c>
      <c r="V15" s="72">
        <v>1287.2</v>
      </c>
      <c r="W15" s="72">
        <v>1.6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65340.79999999999</v>
      </c>
      <c r="AG15" s="71">
        <f aca="true" t="shared" si="3" ref="AG15:AG31">B15+C15-AF15</f>
        <v>22513.800000000017</v>
      </c>
      <c r="AI15" s="86"/>
    </row>
    <row r="16" spans="1:34" s="53" customFormat="1" ht="15" customHeight="1">
      <c r="A16" s="51" t="s">
        <v>38</v>
      </c>
      <c r="B16" s="76">
        <v>19179.6</v>
      </c>
      <c r="C16" s="114">
        <v>21.69999999999709</v>
      </c>
      <c r="D16" s="74"/>
      <c r="E16" s="74"/>
      <c r="F16" s="75"/>
      <c r="G16" s="75"/>
      <c r="H16" s="75"/>
      <c r="I16" s="75"/>
      <c r="J16" s="76"/>
      <c r="K16" s="75">
        <v>9132.6</v>
      </c>
      <c r="L16" s="75"/>
      <c r="M16" s="75"/>
      <c r="N16" s="75"/>
      <c r="O16" s="77"/>
      <c r="P16" s="75"/>
      <c r="Q16" s="77"/>
      <c r="R16" s="75"/>
      <c r="S16" s="76"/>
      <c r="T16" s="76"/>
      <c r="U16" s="76">
        <v>9963.6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19096.2</v>
      </c>
      <c r="AG16" s="78">
        <f t="shared" si="3"/>
        <v>105.0999999999949</v>
      </c>
      <c r="AH16" s="57"/>
    </row>
    <row r="17" spans="1:34" ht="15.75">
      <c r="A17" s="3" t="s">
        <v>5</v>
      </c>
      <c r="B17" s="72">
        <v>53788.5</v>
      </c>
      <c r="C17" s="109">
        <v>23</v>
      </c>
      <c r="D17" s="67"/>
      <c r="E17" s="67"/>
      <c r="F17" s="67"/>
      <c r="G17" s="67"/>
      <c r="H17" s="67"/>
      <c r="I17" s="67"/>
      <c r="J17" s="72"/>
      <c r="K17" s="67">
        <f>963.8+9132.6</f>
        <v>10096.4</v>
      </c>
      <c r="L17" s="67">
        <v>10728.8</v>
      </c>
      <c r="M17" s="67"/>
      <c r="N17" s="67"/>
      <c r="O17" s="71"/>
      <c r="P17" s="67"/>
      <c r="Q17" s="71"/>
      <c r="R17" s="67"/>
      <c r="S17" s="72"/>
      <c r="T17" s="72"/>
      <c r="U17" s="72">
        <f>20670.9+9963.6</f>
        <v>30634.5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51459.7</v>
      </c>
      <c r="AG17" s="71">
        <f t="shared" si="3"/>
        <v>2351.800000000003</v>
      </c>
      <c r="AH17" s="6"/>
    </row>
    <row r="18" spans="1:33" ht="15.75">
      <c r="A18" s="3" t="s">
        <v>3</v>
      </c>
      <c r="B18" s="72">
        <v>0</v>
      </c>
      <c r="C18" s="109">
        <v>0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.75">
      <c r="A19" s="3" t="s">
        <v>1</v>
      </c>
      <c r="B19" s="72">
        <v>8614.7</v>
      </c>
      <c r="C19" s="109">
        <v>0.0999999999999659</v>
      </c>
      <c r="D19" s="67"/>
      <c r="E19" s="67">
        <v>85.8</v>
      </c>
      <c r="F19" s="67"/>
      <c r="G19" s="67">
        <v>204.3</v>
      </c>
      <c r="H19" s="67"/>
      <c r="I19" s="67">
        <v>521.2</v>
      </c>
      <c r="J19" s="72">
        <v>87.9</v>
      </c>
      <c r="K19" s="67">
        <v>293.2</v>
      </c>
      <c r="L19" s="67"/>
      <c r="M19" s="67">
        <v>244.8</v>
      </c>
      <c r="N19" s="67">
        <v>269.9</v>
      </c>
      <c r="O19" s="71">
        <v>23.7</v>
      </c>
      <c r="P19" s="67">
        <v>37.8</v>
      </c>
      <c r="Q19" s="71"/>
      <c r="R19" s="67">
        <v>76.9</v>
      </c>
      <c r="S19" s="72">
        <v>443.5</v>
      </c>
      <c r="T19" s="72">
        <v>72.7</v>
      </c>
      <c r="U19" s="72">
        <v>206</v>
      </c>
      <c r="V19" s="72">
        <v>64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2631.7</v>
      </c>
      <c r="AG19" s="71">
        <f t="shared" si="3"/>
        <v>5983.100000000001</v>
      </c>
    </row>
    <row r="20" spans="1:33" ht="15.75">
      <c r="A20" s="3" t="s">
        <v>2</v>
      </c>
      <c r="B20" s="72">
        <v>23389.5</v>
      </c>
      <c r="C20" s="109">
        <v>0.599999999999909</v>
      </c>
      <c r="D20" s="67"/>
      <c r="E20" s="67">
        <v>64.1</v>
      </c>
      <c r="F20" s="67">
        <v>0.7</v>
      </c>
      <c r="G20" s="67">
        <v>97.8</v>
      </c>
      <c r="H20" s="67"/>
      <c r="I20" s="67">
        <v>43.1</v>
      </c>
      <c r="J20" s="72">
        <v>15</v>
      </c>
      <c r="K20" s="67">
        <v>139.1</v>
      </c>
      <c r="L20" s="67"/>
      <c r="M20" s="67">
        <v>27.1</v>
      </c>
      <c r="N20" s="67"/>
      <c r="O20" s="71">
        <v>31.6</v>
      </c>
      <c r="P20" s="67">
        <v>324.4</v>
      </c>
      <c r="Q20" s="71"/>
      <c r="R20" s="67">
        <v>180.4</v>
      </c>
      <c r="S20" s="72">
        <v>824.6</v>
      </c>
      <c r="T20" s="72">
        <v>269.5</v>
      </c>
      <c r="U20" s="72">
        <v>6895.2</v>
      </c>
      <c r="V20" s="72">
        <v>1223.2</v>
      </c>
      <c r="W20" s="72">
        <v>1.6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10137.400000000001</v>
      </c>
      <c r="AG20" s="71">
        <f t="shared" si="3"/>
        <v>13252.699999999997</v>
      </c>
    </row>
    <row r="21" spans="1:33" ht="15.75">
      <c r="A21" s="3" t="s">
        <v>16</v>
      </c>
      <c r="B21" s="72">
        <v>1154.9</v>
      </c>
      <c r="C21" s="109">
        <v>0</v>
      </c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>
        <v>346.3</v>
      </c>
      <c r="O21" s="71"/>
      <c r="P21" s="67">
        <v>159.7</v>
      </c>
      <c r="Q21" s="71"/>
      <c r="R21" s="67"/>
      <c r="S21" s="72"/>
      <c r="T21" s="72">
        <v>538.5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1044.5</v>
      </c>
      <c r="AG21" s="71">
        <f t="shared" si="3"/>
        <v>110.40000000000009</v>
      </c>
    </row>
    <row r="22" spans="1:33" ht="15.7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.75">
      <c r="A23" s="3" t="s">
        <v>23</v>
      </c>
      <c r="B23" s="72">
        <f aca="true" t="shared" si="4" ref="B23:AD23">B15-B17-B18-B19-B20-B21-B22</f>
        <v>883.2999999999934</v>
      </c>
      <c r="C23" s="109">
        <f t="shared" si="4"/>
        <v>1.1766587704187259E-11</v>
      </c>
      <c r="D23" s="67">
        <f t="shared" si="4"/>
        <v>0</v>
      </c>
      <c r="E23" s="67">
        <f t="shared" si="4"/>
        <v>1.40000000000002</v>
      </c>
      <c r="F23" s="67">
        <f t="shared" si="4"/>
        <v>0</v>
      </c>
      <c r="G23" s="67">
        <f t="shared" si="4"/>
        <v>4.200000000000003</v>
      </c>
      <c r="H23" s="67">
        <f t="shared" si="4"/>
        <v>0</v>
      </c>
      <c r="I23" s="67">
        <f t="shared" si="4"/>
        <v>29.4</v>
      </c>
      <c r="J23" s="67">
        <f t="shared" si="4"/>
        <v>7.099999999999994</v>
      </c>
      <c r="K23" s="67">
        <f t="shared" si="4"/>
        <v>0.20000000000001705</v>
      </c>
      <c r="L23" s="67">
        <f t="shared" si="4"/>
        <v>0</v>
      </c>
      <c r="M23" s="67">
        <f t="shared" si="4"/>
        <v>0.5999999999999872</v>
      </c>
      <c r="N23" s="67">
        <f t="shared" si="4"/>
        <v>5.684341886080802E-14</v>
      </c>
      <c r="O23" s="67">
        <f t="shared" si="4"/>
        <v>3.499999999999993</v>
      </c>
      <c r="P23" s="67">
        <f t="shared" si="4"/>
        <v>0</v>
      </c>
      <c r="Q23" s="67">
        <f t="shared" si="4"/>
        <v>0</v>
      </c>
      <c r="R23" s="67">
        <f t="shared" si="4"/>
        <v>0.5</v>
      </c>
      <c r="S23" s="67">
        <f t="shared" si="4"/>
        <v>-1.1368683772161603E-13</v>
      </c>
      <c r="T23" s="67">
        <f t="shared" si="4"/>
        <v>0.09999999999990905</v>
      </c>
      <c r="U23" s="67">
        <f t="shared" si="4"/>
        <v>20.49999999999727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67.49999999999713</v>
      </c>
      <c r="AG23" s="71">
        <f t="shared" si="3"/>
        <v>815.800000000008</v>
      </c>
    </row>
    <row r="24" spans="1:35" ht="15" customHeight="1">
      <c r="A24" s="4" t="s">
        <v>7</v>
      </c>
      <c r="B24" s="72">
        <f>33467.7-81.4</f>
        <v>33386.299999999996</v>
      </c>
      <c r="C24" s="109">
        <v>7348.700000000001</v>
      </c>
      <c r="D24" s="67">
        <v>107.8</v>
      </c>
      <c r="E24" s="67">
        <v>99.9</v>
      </c>
      <c r="F24" s="67">
        <f>131.7+68</f>
        <v>199.7</v>
      </c>
      <c r="G24" s="67"/>
      <c r="H24" s="67"/>
      <c r="I24" s="67"/>
      <c r="J24" s="72">
        <f>568.1+670.4</f>
        <v>1238.5</v>
      </c>
      <c r="K24" s="67">
        <f>12.4+333.8</f>
        <v>346.2</v>
      </c>
      <c r="L24" s="67">
        <v>10669.5</v>
      </c>
      <c r="M24" s="67"/>
      <c r="N24" s="67"/>
      <c r="O24" s="71">
        <v>2627.5</v>
      </c>
      <c r="P24" s="67">
        <v>1015</v>
      </c>
      <c r="Q24" s="71"/>
      <c r="R24" s="71">
        <v>0.9</v>
      </c>
      <c r="S24" s="72"/>
      <c r="T24" s="72">
        <f>691.6+930.5</f>
        <v>1622.1</v>
      </c>
      <c r="U24" s="72">
        <f>6776.6+9161.8</f>
        <v>15938.4</v>
      </c>
      <c r="V24" s="72">
        <v>16.3</v>
      </c>
      <c r="W24" s="72">
        <v>11.4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33893.200000000004</v>
      </c>
      <c r="AG24" s="71">
        <f t="shared" si="3"/>
        <v>6841.799999999996</v>
      </c>
      <c r="AI24" s="86"/>
    </row>
    <row r="25" spans="1:34" s="53" customFormat="1" ht="15" customHeight="1">
      <c r="A25" s="51" t="s">
        <v>39</v>
      </c>
      <c r="B25" s="76">
        <v>22002.9</v>
      </c>
      <c r="C25" s="114">
        <v>2681.399999999998</v>
      </c>
      <c r="D25" s="75">
        <v>107.8</v>
      </c>
      <c r="E25" s="75">
        <v>99.9</v>
      </c>
      <c r="F25" s="75">
        <v>68</v>
      </c>
      <c r="G25" s="75"/>
      <c r="H25" s="75"/>
      <c r="I25" s="75"/>
      <c r="J25" s="76">
        <v>670.4</v>
      </c>
      <c r="K25" s="75">
        <v>333.8</v>
      </c>
      <c r="L25" s="75">
        <v>10669.5</v>
      </c>
      <c r="M25" s="75"/>
      <c r="N25" s="75"/>
      <c r="O25" s="77">
        <v>517.6</v>
      </c>
      <c r="P25" s="75">
        <v>20</v>
      </c>
      <c r="Q25" s="77"/>
      <c r="R25" s="77">
        <v>0.9</v>
      </c>
      <c r="S25" s="76"/>
      <c r="T25" s="76">
        <v>930.5</v>
      </c>
      <c r="U25" s="76">
        <v>9161.8</v>
      </c>
      <c r="V25" s="76">
        <v>16.3</v>
      </c>
      <c r="W25" s="76">
        <v>11.4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22607.899999999998</v>
      </c>
      <c r="AG25" s="78">
        <f t="shared" si="3"/>
        <v>2076.4000000000015</v>
      </c>
      <c r="AH25" s="57"/>
    </row>
    <row r="26" spans="1:34" ht="15.7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.7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.7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.7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.7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.7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.75">
      <c r="A32" s="3" t="s">
        <v>23</v>
      </c>
      <c r="B32" s="72">
        <f>B24</f>
        <v>33386.299999999996</v>
      </c>
      <c r="C32" s="109">
        <f aca="true" t="shared" si="5" ref="C32:AD32">C24-C26-C27-C28-C29-C30-C31</f>
        <v>7348.700000000001</v>
      </c>
      <c r="D32" s="67">
        <f t="shared" si="5"/>
        <v>107.8</v>
      </c>
      <c r="E32" s="67">
        <f t="shared" si="5"/>
        <v>99.9</v>
      </c>
      <c r="F32" s="67">
        <f t="shared" si="5"/>
        <v>199.7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1238.5</v>
      </c>
      <c r="K32" s="67">
        <f t="shared" si="5"/>
        <v>346.2</v>
      </c>
      <c r="L32" s="67">
        <f t="shared" si="5"/>
        <v>10669.5</v>
      </c>
      <c r="M32" s="67">
        <f t="shared" si="5"/>
        <v>0</v>
      </c>
      <c r="N32" s="67">
        <f t="shared" si="5"/>
        <v>0</v>
      </c>
      <c r="O32" s="67">
        <f t="shared" si="5"/>
        <v>2627.5</v>
      </c>
      <c r="P32" s="67">
        <f t="shared" si="5"/>
        <v>1015</v>
      </c>
      <c r="Q32" s="67">
        <f t="shared" si="5"/>
        <v>0</v>
      </c>
      <c r="R32" s="67">
        <f t="shared" si="5"/>
        <v>0.9</v>
      </c>
      <c r="S32" s="67">
        <f t="shared" si="5"/>
        <v>0</v>
      </c>
      <c r="T32" s="67">
        <f t="shared" si="5"/>
        <v>1622.1</v>
      </c>
      <c r="U32" s="67">
        <f t="shared" si="5"/>
        <v>15938.4</v>
      </c>
      <c r="V32" s="67">
        <f t="shared" si="5"/>
        <v>16.3</v>
      </c>
      <c r="W32" s="67">
        <f t="shared" si="5"/>
        <v>11.4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33893.200000000004</v>
      </c>
      <c r="AG32" s="71">
        <f>AG24</f>
        <v>6841.799999999996</v>
      </c>
    </row>
    <row r="33" spans="1:33" ht="15" customHeight="1">
      <c r="A33" s="4" t="s">
        <v>8</v>
      </c>
      <c r="B33" s="72">
        <v>358.6</v>
      </c>
      <c r="C33" s="109">
        <v>0</v>
      </c>
      <c r="D33" s="67"/>
      <c r="E33" s="67"/>
      <c r="F33" s="67"/>
      <c r="G33" s="67"/>
      <c r="H33" s="67"/>
      <c r="I33" s="67">
        <v>43.2</v>
      </c>
      <c r="J33" s="72"/>
      <c r="K33" s="67">
        <v>40.5</v>
      </c>
      <c r="L33" s="67"/>
      <c r="M33" s="67">
        <v>47.6</v>
      </c>
      <c r="N33" s="67"/>
      <c r="O33" s="71"/>
      <c r="P33" s="67">
        <v>13</v>
      </c>
      <c r="Q33" s="71"/>
      <c r="R33" s="67">
        <v>-3</v>
      </c>
      <c r="S33" s="72"/>
      <c r="T33" s="72"/>
      <c r="U33" s="72">
        <v>155.9</v>
      </c>
      <c r="V33" s="72">
        <v>18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315.20000000000005</v>
      </c>
      <c r="AG33" s="71">
        <f aca="true" t="shared" si="6" ref="AG33:AG38">B33+C33-AF33</f>
        <v>43.39999999999998</v>
      </c>
    </row>
    <row r="34" spans="1:33" ht="15.75">
      <c r="A34" s="3" t="s">
        <v>5</v>
      </c>
      <c r="B34" s="72">
        <v>254.7</v>
      </c>
      <c r="C34" s="109">
        <v>0</v>
      </c>
      <c r="D34" s="67"/>
      <c r="E34" s="67"/>
      <c r="F34" s="67"/>
      <c r="G34" s="67"/>
      <c r="H34" s="67"/>
      <c r="I34" s="67"/>
      <c r="J34" s="72"/>
      <c r="K34" s="67">
        <v>40.5</v>
      </c>
      <c r="L34" s="67"/>
      <c r="M34" s="67">
        <v>47.3</v>
      </c>
      <c r="N34" s="67"/>
      <c r="O34" s="67"/>
      <c r="P34" s="67"/>
      <c r="Q34" s="71"/>
      <c r="R34" s="67"/>
      <c r="S34" s="72"/>
      <c r="T34" s="72"/>
      <c r="U34" s="72">
        <v>155.9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243.7</v>
      </c>
      <c r="AG34" s="71">
        <f t="shared" si="6"/>
        <v>11</v>
      </c>
    </row>
    <row r="35" spans="1:33" ht="15.7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.75">
      <c r="A36" s="3" t="s">
        <v>2</v>
      </c>
      <c r="B36" s="111">
        <v>76.2</v>
      </c>
      <c r="C36" s="109">
        <v>0</v>
      </c>
      <c r="D36" s="67"/>
      <c r="E36" s="67"/>
      <c r="F36" s="67"/>
      <c r="G36" s="67"/>
      <c r="H36" s="67"/>
      <c r="I36" s="67">
        <v>43.2</v>
      </c>
      <c r="J36" s="72"/>
      <c r="K36" s="67"/>
      <c r="L36" s="67"/>
      <c r="M36" s="67"/>
      <c r="N36" s="67"/>
      <c r="O36" s="71"/>
      <c r="P36" s="67">
        <v>13</v>
      </c>
      <c r="Q36" s="71"/>
      <c r="R36" s="67">
        <v>-3</v>
      </c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53.2</v>
      </c>
      <c r="AG36" s="71">
        <f t="shared" si="6"/>
        <v>23</v>
      </c>
    </row>
    <row r="37" spans="1:33" ht="15.75">
      <c r="A37" s="3" t="s">
        <v>16</v>
      </c>
      <c r="B37" s="72">
        <v>0</v>
      </c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.7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27.70000000000003</v>
      </c>
      <c r="C39" s="109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0.30000000000000426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18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18.300000000000004</v>
      </c>
      <c r="AG39" s="71">
        <f>AG33-AG34-AG36-AG38-AG35-AG37</f>
        <v>9.399999999999977</v>
      </c>
    </row>
    <row r="40" spans="1:33" ht="15" customHeight="1">
      <c r="A40" s="4" t="s">
        <v>29</v>
      </c>
      <c r="B40" s="72">
        <v>1252.9</v>
      </c>
      <c r="C40" s="109">
        <v>0</v>
      </c>
      <c r="D40" s="67"/>
      <c r="E40" s="67"/>
      <c r="F40" s="67"/>
      <c r="G40" s="67"/>
      <c r="H40" s="67">
        <v>52.3</v>
      </c>
      <c r="I40" s="67"/>
      <c r="J40" s="72"/>
      <c r="K40" s="67"/>
      <c r="L40" s="67"/>
      <c r="M40" s="67">
        <v>349.2</v>
      </c>
      <c r="N40" s="67"/>
      <c r="O40" s="71"/>
      <c r="P40" s="67"/>
      <c r="Q40" s="71"/>
      <c r="R40" s="71"/>
      <c r="S40" s="72"/>
      <c r="T40" s="72"/>
      <c r="U40" s="72">
        <v>679.9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1081.4</v>
      </c>
      <c r="AG40" s="71">
        <f aca="true" t="shared" si="8" ref="AG40:AG45">B40+C40-AF40</f>
        <v>171.5</v>
      </c>
    </row>
    <row r="41" spans="1:34" ht="15.75">
      <c r="A41" s="3" t="s">
        <v>5</v>
      </c>
      <c r="B41" s="72">
        <v>1044.2</v>
      </c>
      <c r="C41" s="109">
        <v>0</v>
      </c>
      <c r="D41" s="67"/>
      <c r="E41" s="67"/>
      <c r="F41" s="67"/>
      <c r="G41" s="67"/>
      <c r="H41" s="67"/>
      <c r="I41" s="67"/>
      <c r="J41" s="72"/>
      <c r="K41" s="67"/>
      <c r="L41" s="67"/>
      <c r="M41" s="67">
        <v>334.1</v>
      </c>
      <c r="N41" s="67"/>
      <c r="O41" s="71"/>
      <c r="P41" s="67"/>
      <c r="Q41" s="67"/>
      <c r="R41" s="67"/>
      <c r="S41" s="72"/>
      <c r="T41" s="72"/>
      <c r="U41" s="72">
        <v>652.5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986.6</v>
      </c>
      <c r="AG41" s="71">
        <f t="shared" si="8"/>
        <v>57.60000000000002</v>
      </c>
      <c r="AH41" s="6"/>
    </row>
    <row r="42" spans="1:33" ht="15.75">
      <c r="A42" s="3" t="s">
        <v>3</v>
      </c>
      <c r="B42" s="72">
        <v>0</v>
      </c>
      <c r="C42" s="109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1">
        <f t="shared" si="8"/>
        <v>0</v>
      </c>
    </row>
    <row r="43" spans="1:33" ht="15.75">
      <c r="A43" s="3" t="s">
        <v>1</v>
      </c>
      <c r="B43" s="72">
        <v>10.1</v>
      </c>
      <c r="C43" s="109">
        <v>0</v>
      </c>
      <c r="D43" s="67"/>
      <c r="E43" s="67"/>
      <c r="F43" s="67"/>
      <c r="G43" s="67"/>
      <c r="H43" s="67"/>
      <c r="I43" s="67"/>
      <c r="J43" s="72"/>
      <c r="K43" s="67"/>
      <c r="L43" s="67"/>
      <c r="M43" s="67">
        <v>5.7</v>
      </c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5.7</v>
      </c>
      <c r="AG43" s="71">
        <f t="shared" si="8"/>
        <v>4.3999999999999995</v>
      </c>
    </row>
    <row r="44" spans="1:33" ht="15.75">
      <c r="A44" s="3" t="s">
        <v>2</v>
      </c>
      <c r="B44" s="72">
        <v>166.4</v>
      </c>
      <c r="C44" s="109">
        <v>0</v>
      </c>
      <c r="D44" s="67"/>
      <c r="E44" s="67"/>
      <c r="F44" s="67"/>
      <c r="G44" s="67"/>
      <c r="H44" s="67">
        <v>51.9</v>
      </c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12.7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64.6</v>
      </c>
      <c r="AG44" s="71">
        <f t="shared" si="8"/>
        <v>101.80000000000001</v>
      </c>
    </row>
    <row r="45" spans="1:33" ht="15.7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1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32.200000000000045</v>
      </c>
      <c r="C46" s="109">
        <f t="shared" si="9"/>
        <v>0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0.3999999999999986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</v>
      </c>
      <c r="M46" s="67">
        <f t="shared" si="9"/>
        <v>9.399999999999967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14.699999999999978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24.499999999999943</v>
      </c>
      <c r="AG46" s="71">
        <f>AG40-AG41-AG42-AG43-AG44-AG45</f>
        <v>7.69999999999996</v>
      </c>
    </row>
    <row r="47" spans="1:33" ht="17.25" customHeight="1">
      <c r="A47" s="4" t="s">
        <v>43</v>
      </c>
      <c r="B47" s="70">
        <v>1215.7</v>
      </c>
      <c r="C47" s="109">
        <v>0</v>
      </c>
      <c r="D47" s="67"/>
      <c r="E47" s="79"/>
      <c r="F47" s="79"/>
      <c r="G47" s="79"/>
      <c r="H47" s="79"/>
      <c r="I47" s="79">
        <v>51.6</v>
      </c>
      <c r="J47" s="80"/>
      <c r="K47" s="79"/>
      <c r="L47" s="79">
        <v>143.8</v>
      </c>
      <c r="M47" s="79"/>
      <c r="N47" s="79">
        <v>13.5</v>
      </c>
      <c r="O47" s="81"/>
      <c r="P47" s="79"/>
      <c r="Q47" s="79">
        <v>25.2</v>
      </c>
      <c r="R47" s="79"/>
      <c r="S47" s="80"/>
      <c r="T47" s="80">
        <v>149.6</v>
      </c>
      <c r="U47" s="79">
        <v>13.2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396.9</v>
      </c>
      <c r="AG47" s="71">
        <f>B47+C47-AF47</f>
        <v>818.8000000000001</v>
      </c>
    </row>
    <row r="48" spans="1:33" ht="15.75" hidden="1">
      <c r="A48" s="3" t="s">
        <v>5</v>
      </c>
      <c r="B48" s="72"/>
      <c r="C48" s="109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1">
        <f>B48+C48-AF48</f>
        <v>0</v>
      </c>
    </row>
    <row r="49" spans="1:33" ht="15.75">
      <c r="A49" s="3" t="s">
        <v>16</v>
      </c>
      <c r="B49" s="72">
        <v>1094.2</v>
      </c>
      <c r="C49" s="109">
        <v>0</v>
      </c>
      <c r="D49" s="67"/>
      <c r="E49" s="67"/>
      <c r="F49" s="67"/>
      <c r="G49" s="67"/>
      <c r="H49" s="67"/>
      <c r="I49" s="67">
        <v>51.6</v>
      </c>
      <c r="J49" s="72"/>
      <c r="K49" s="67"/>
      <c r="L49" s="67">
        <v>143.7</v>
      </c>
      <c r="M49" s="67"/>
      <c r="N49" s="67">
        <v>13.5</v>
      </c>
      <c r="O49" s="71"/>
      <c r="P49" s="67"/>
      <c r="Q49" s="67">
        <v>25.2</v>
      </c>
      <c r="R49" s="67"/>
      <c r="S49" s="72"/>
      <c r="T49" s="72">
        <v>149.6</v>
      </c>
      <c r="U49" s="67">
        <v>13.2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396.79999999999995</v>
      </c>
      <c r="AG49" s="71">
        <f>B49+C49-AF49</f>
        <v>697.4000000000001</v>
      </c>
    </row>
    <row r="50" spans="1:33" ht="30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1">
        <f>B50+C50-AF50</f>
        <v>0</v>
      </c>
    </row>
    <row r="51" spans="1:33" ht="15.75">
      <c r="A51" s="48" t="s">
        <v>23</v>
      </c>
      <c r="B51" s="72">
        <f aca="true" t="shared" si="10" ref="B51:AD51">B47-B48-B49</f>
        <v>121.5</v>
      </c>
      <c r="C51" s="109">
        <f t="shared" si="10"/>
        <v>0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0.10000000000002274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0.10000000000002274</v>
      </c>
      <c r="AG51" s="71">
        <f>AG47-AG49-AG48</f>
        <v>121.39999999999998</v>
      </c>
    </row>
    <row r="52" spans="1:33" ht="15" customHeight="1">
      <c r="A52" s="4" t="s">
        <v>0</v>
      </c>
      <c r="B52" s="72">
        <f>3904-28.35</f>
        <v>3875.65</v>
      </c>
      <c r="C52" s="109">
        <v>1056.5</v>
      </c>
      <c r="D52" s="67"/>
      <c r="E52" s="67">
        <v>510.7</v>
      </c>
      <c r="F52" s="67">
        <v>28.2</v>
      </c>
      <c r="G52" s="67"/>
      <c r="H52" s="67">
        <v>0.5</v>
      </c>
      <c r="I52" s="67">
        <v>182.1</v>
      </c>
      <c r="J52" s="72"/>
      <c r="K52" s="67"/>
      <c r="L52" s="67">
        <v>337.6</v>
      </c>
      <c r="M52" s="67">
        <v>34.8</v>
      </c>
      <c r="N52" s="67"/>
      <c r="O52" s="71"/>
      <c r="P52" s="67"/>
      <c r="Q52" s="67"/>
      <c r="R52" s="67"/>
      <c r="S52" s="72"/>
      <c r="T52" s="72">
        <v>102.9</v>
      </c>
      <c r="U52" s="72"/>
      <c r="V52" s="72">
        <f>588.2-24.2</f>
        <v>564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1760.8</v>
      </c>
      <c r="AG52" s="71">
        <f aca="true" t="shared" si="11" ref="AG52:AG59">B52+C52-AF52</f>
        <v>3171.3499999999995</v>
      </c>
    </row>
    <row r="53" spans="1:33" ht="15" customHeight="1">
      <c r="A53" s="3" t="s">
        <v>2</v>
      </c>
      <c r="B53" s="72">
        <v>1258.2</v>
      </c>
      <c r="C53" s="109">
        <v>0.10000000000013642</v>
      </c>
      <c r="D53" s="67"/>
      <c r="E53" s="67">
        <v>3.4</v>
      </c>
      <c r="F53" s="67"/>
      <c r="G53" s="67"/>
      <c r="H53" s="67">
        <v>0.5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/>
      <c r="V53" s="72">
        <v>79.6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83.5</v>
      </c>
      <c r="AG53" s="71">
        <f t="shared" si="11"/>
        <v>1174.8000000000002</v>
      </c>
    </row>
    <row r="54" spans="1:34" ht="15" customHeight="1">
      <c r="A54" s="4" t="s">
        <v>9</v>
      </c>
      <c r="B54" s="111">
        <v>2518.8</v>
      </c>
      <c r="C54" s="109">
        <v>0</v>
      </c>
      <c r="D54" s="67"/>
      <c r="E54" s="67">
        <v>164.7</v>
      </c>
      <c r="F54" s="67"/>
      <c r="G54" s="67">
        <v>15</v>
      </c>
      <c r="H54" s="67"/>
      <c r="I54" s="67">
        <v>5.1</v>
      </c>
      <c r="J54" s="72"/>
      <c r="K54" s="67">
        <v>531</v>
      </c>
      <c r="L54" s="67">
        <v>54.3</v>
      </c>
      <c r="M54" s="67"/>
      <c r="N54" s="67"/>
      <c r="O54" s="71">
        <v>2.5</v>
      </c>
      <c r="P54" s="67">
        <v>15.8</v>
      </c>
      <c r="Q54" s="71">
        <v>202.7</v>
      </c>
      <c r="R54" s="67">
        <v>1.6</v>
      </c>
      <c r="S54" s="72"/>
      <c r="T54" s="72">
        <v>22.1</v>
      </c>
      <c r="U54" s="72">
        <v>596.2</v>
      </c>
      <c r="V54" s="72">
        <v>0.1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1611.1</v>
      </c>
      <c r="AG54" s="67">
        <f t="shared" si="11"/>
        <v>907.7000000000003</v>
      </c>
      <c r="AH54" s="6"/>
    </row>
    <row r="55" spans="1:34" ht="15.75">
      <c r="A55" s="3" t="s">
        <v>5</v>
      </c>
      <c r="B55" s="72">
        <v>1045.8</v>
      </c>
      <c r="C55" s="109">
        <v>0</v>
      </c>
      <c r="D55" s="67"/>
      <c r="E55" s="67"/>
      <c r="F55" s="67"/>
      <c r="G55" s="67"/>
      <c r="H55" s="67"/>
      <c r="I55" s="67"/>
      <c r="J55" s="72"/>
      <c r="K55" s="67">
        <v>389.3</v>
      </c>
      <c r="L55" s="67"/>
      <c r="M55" s="67"/>
      <c r="N55" s="67"/>
      <c r="O55" s="71"/>
      <c r="P55" s="67"/>
      <c r="Q55" s="71"/>
      <c r="R55" s="67"/>
      <c r="S55" s="72"/>
      <c r="T55" s="72"/>
      <c r="U55" s="72">
        <v>522.2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911.5</v>
      </c>
      <c r="AG55" s="67">
        <f t="shared" si="11"/>
        <v>134.29999999999995</v>
      </c>
      <c r="AH55" s="6"/>
    </row>
    <row r="56" spans="1:34" ht="15" customHeight="1" hidden="1">
      <c r="A56" s="3" t="s">
        <v>1</v>
      </c>
      <c r="B56" s="72"/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67">
        <f t="shared" si="11"/>
        <v>0</v>
      </c>
      <c r="AH56" s="6"/>
    </row>
    <row r="57" spans="1:33" ht="15.75">
      <c r="A57" s="3" t="s">
        <v>2</v>
      </c>
      <c r="B57" s="70">
        <v>398</v>
      </c>
      <c r="C57" s="109">
        <v>0</v>
      </c>
      <c r="D57" s="67"/>
      <c r="E57" s="67"/>
      <c r="F57" s="67"/>
      <c r="G57" s="67">
        <v>11.3</v>
      </c>
      <c r="H57" s="67"/>
      <c r="I57" s="67"/>
      <c r="J57" s="72"/>
      <c r="K57" s="67">
        <v>141.7</v>
      </c>
      <c r="L57" s="67"/>
      <c r="M57" s="67"/>
      <c r="N57" s="67"/>
      <c r="O57" s="71"/>
      <c r="P57" s="67"/>
      <c r="Q57" s="71">
        <v>12.6</v>
      </c>
      <c r="R57" s="67"/>
      <c r="S57" s="72"/>
      <c r="T57" s="72">
        <v>0.9</v>
      </c>
      <c r="U57" s="72">
        <v>0.4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166.9</v>
      </c>
      <c r="AG57" s="67">
        <f t="shared" si="11"/>
        <v>231.1</v>
      </c>
    </row>
    <row r="58" spans="1:33" ht="15.7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/>
      <c r="I58" s="67">
        <v>5.1</v>
      </c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67">
        <f t="shared" si="11"/>
        <v>0</v>
      </c>
    </row>
    <row r="59" spans="1:33" ht="15.7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67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1069.9000000000003</v>
      </c>
      <c r="C60" s="109">
        <f t="shared" si="12"/>
        <v>0</v>
      </c>
      <c r="D60" s="67">
        <f t="shared" si="12"/>
        <v>0</v>
      </c>
      <c r="E60" s="67">
        <f>E54-E55-E57-E59-E56-E58</f>
        <v>164.7</v>
      </c>
      <c r="F60" s="67">
        <f t="shared" si="12"/>
        <v>0</v>
      </c>
      <c r="G60" s="67">
        <f t="shared" si="12"/>
        <v>3.6999999999999993</v>
      </c>
      <c r="H60" s="67">
        <f t="shared" si="12"/>
        <v>0</v>
      </c>
      <c r="I60" s="67">
        <f t="shared" si="12"/>
        <v>0</v>
      </c>
      <c r="J60" s="67">
        <f t="shared" si="12"/>
        <v>0</v>
      </c>
      <c r="K60" s="67">
        <f t="shared" si="12"/>
        <v>0</v>
      </c>
      <c r="L60" s="67">
        <f t="shared" si="12"/>
        <v>54.3</v>
      </c>
      <c r="M60" s="67">
        <f t="shared" si="12"/>
        <v>0</v>
      </c>
      <c r="N60" s="67">
        <f t="shared" si="12"/>
        <v>0</v>
      </c>
      <c r="O60" s="67">
        <f t="shared" si="12"/>
        <v>2.5</v>
      </c>
      <c r="P60" s="67">
        <f t="shared" si="12"/>
        <v>15.8</v>
      </c>
      <c r="Q60" s="67">
        <f t="shared" si="12"/>
        <v>190.1</v>
      </c>
      <c r="R60" s="67">
        <f t="shared" si="12"/>
        <v>1.6</v>
      </c>
      <c r="S60" s="67">
        <f t="shared" si="12"/>
        <v>0</v>
      </c>
      <c r="T60" s="67">
        <f t="shared" si="12"/>
        <v>21.200000000000003</v>
      </c>
      <c r="U60" s="67">
        <f t="shared" si="12"/>
        <v>73.6</v>
      </c>
      <c r="V60" s="67">
        <f t="shared" si="12"/>
        <v>0.1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527.5999999999999</v>
      </c>
      <c r="AG60" s="67">
        <f>AG54-AG55-AG57-AG59-AG56-AG58</f>
        <v>542.3000000000003</v>
      </c>
    </row>
    <row r="61" spans="1:33" ht="15" customHeight="1">
      <c r="A61" s="4" t="s">
        <v>10</v>
      </c>
      <c r="B61" s="72">
        <v>308.1</v>
      </c>
      <c r="C61" s="109">
        <v>0</v>
      </c>
      <c r="D61" s="67"/>
      <c r="E61" s="67"/>
      <c r="F61" s="67"/>
      <c r="G61" s="67"/>
      <c r="H61" s="67"/>
      <c r="I61" s="67"/>
      <c r="J61" s="72"/>
      <c r="K61" s="67"/>
      <c r="L61" s="67">
        <v>1.1</v>
      </c>
      <c r="M61" s="67"/>
      <c r="N61" s="67"/>
      <c r="O61" s="71"/>
      <c r="P61" s="67"/>
      <c r="Q61" s="71"/>
      <c r="R61" s="67"/>
      <c r="S61" s="72"/>
      <c r="T61" s="72"/>
      <c r="U61" s="72">
        <v>0.6</v>
      </c>
      <c r="V61" s="72">
        <v>70.8</v>
      </c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72.5</v>
      </c>
      <c r="AG61" s="67">
        <f aca="true" t="shared" si="14" ref="AG61:AG67">B61+C61-AF61</f>
        <v>235.60000000000002</v>
      </c>
    </row>
    <row r="62" spans="1:33" ht="15" customHeight="1">
      <c r="A62" s="4" t="s">
        <v>11</v>
      </c>
      <c r="B62" s="72">
        <v>2755.8</v>
      </c>
      <c r="C62" s="109">
        <v>110</v>
      </c>
      <c r="D62" s="67"/>
      <c r="E62" s="67">
        <v>1</v>
      </c>
      <c r="F62" s="67">
        <v>93.6</v>
      </c>
      <c r="G62" s="67">
        <v>110</v>
      </c>
      <c r="H62" s="67"/>
      <c r="I62" s="67">
        <v>157.4</v>
      </c>
      <c r="J62" s="72"/>
      <c r="K62" s="67">
        <v>908.3</v>
      </c>
      <c r="L62" s="67"/>
      <c r="M62" s="67"/>
      <c r="N62" s="67"/>
      <c r="O62" s="71"/>
      <c r="P62" s="67">
        <v>5.2</v>
      </c>
      <c r="Q62" s="71"/>
      <c r="R62" s="67"/>
      <c r="S62" s="72"/>
      <c r="T62" s="72">
        <v>0.4</v>
      </c>
      <c r="U62" s="72">
        <v>827.7</v>
      </c>
      <c r="V62" s="72">
        <v>156.7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2260.3</v>
      </c>
      <c r="AG62" s="67">
        <f t="shared" si="14"/>
        <v>605.5</v>
      </c>
    </row>
    <row r="63" spans="1:34" ht="15.75">
      <c r="A63" s="3" t="s">
        <v>5</v>
      </c>
      <c r="B63" s="72">
        <v>1491.8</v>
      </c>
      <c r="C63" s="109">
        <v>0</v>
      </c>
      <c r="D63" s="67"/>
      <c r="E63" s="67"/>
      <c r="F63" s="67"/>
      <c r="G63" s="67"/>
      <c r="H63" s="67"/>
      <c r="I63" s="67"/>
      <c r="J63" s="72"/>
      <c r="K63" s="67">
        <v>737.6</v>
      </c>
      <c r="L63" s="67"/>
      <c r="M63" s="67"/>
      <c r="N63" s="67"/>
      <c r="O63" s="71"/>
      <c r="P63" s="67"/>
      <c r="Q63" s="71"/>
      <c r="R63" s="67"/>
      <c r="S63" s="72"/>
      <c r="T63" s="72"/>
      <c r="U63" s="72">
        <v>710.6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1448.2</v>
      </c>
      <c r="AG63" s="67">
        <f t="shared" si="14"/>
        <v>43.59999999999991</v>
      </c>
      <c r="AH63" s="121"/>
    </row>
    <row r="64" spans="1:34" ht="15.7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67">
        <f t="shared" si="14"/>
        <v>0</v>
      </c>
      <c r="AH64" s="6"/>
    </row>
    <row r="65" spans="1:34" ht="15.75">
      <c r="A65" s="3" t="s">
        <v>1</v>
      </c>
      <c r="B65" s="72">
        <v>71</v>
      </c>
      <c r="C65" s="109">
        <v>0</v>
      </c>
      <c r="D65" s="67"/>
      <c r="E65" s="67"/>
      <c r="F65" s="67">
        <v>4.2</v>
      </c>
      <c r="G65" s="67"/>
      <c r="H65" s="67"/>
      <c r="I65" s="67">
        <v>9</v>
      </c>
      <c r="J65" s="72"/>
      <c r="K65" s="67">
        <v>4.8</v>
      </c>
      <c r="L65" s="67"/>
      <c r="M65" s="67"/>
      <c r="N65" s="67"/>
      <c r="O65" s="71"/>
      <c r="P65" s="67"/>
      <c r="Q65" s="71"/>
      <c r="R65" s="67"/>
      <c r="S65" s="72"/>
      <c r="T65" s="72"/>
      <c r="U65" s="72">
        <v>9.6</v>
      </c>
      <c r="V65" s="72">
        <v>6.3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33.9</v>
      </c>
      <c r="AG65" s="67">
        <f t="shared" si="14"/>
        <v>37.1</v>
      </c>
      <c r="AH65" s="6"/>
    </row>
    <row r="66" spans="1:33" ht="15.75">
      <c r="A66" s="3" t="s">
        <v>2</v>
      </c>
      <c r="B66" s="72">
        <v>176.7</v>
      </c>
      <c r="C66" s="109">
        <v>0</v>
      </c>
      <c r="D66" s="67"/>
      <c r="E66" s="67">
        <v>1</v>
      </c>
      <c r="F66" s="67">
        <v>2.8</v>
      </c>
      <c r="G66" s="67"/>
      <c r="H66" s="67"/>
      <c r="I66" s="67">
        <v>12.3</v>
      </c>
      <c r="J66" s="72"/>
      <c r="K66" s="67">
        <v>8.3</v>
      </c>
      <c r="L66" s="67"/>
      <c r="M66" s="67"/>
      <c r="N66" s="67"/>
      <c r="O66" s="71"/>
      <c r="P66" s="67">
        <v>0.5</v>
      </c>
      <c r="Q66" s="67"/>
      <c r="R66" s="67"/>
      <c r="S66" s="72"/>
      <c r="T66" s="72">
        <v>0.4</v>
      </c>
      <c r="U66" s="72">
        <v>8.7</v>
      </c>
      <c r="V66" s="72">
        <v>15</v>
      </c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49</v>
      </c>
      <c r="AG66" s="67">
        <f t="shared" si="14"/>
        <v>127.69999999999999</v>
      </c>
    </row>
    <row r="67" spans="1:33" ht="15.75">
      <c r="A67" s="3" t="s">
        <v>16</v>
      </c>
      <c r="B67" s="72">
        <v>110</v>
      </c>
      <c r="C67" s="109">
        <v>110</v>
      </c>
      <c r="D67" s="67"/>
      <c r="E67" s="67"/>
      <c r="F67" s="67"/>
      <c r="G67" s="67">
        <v>110</v>
      </c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220</v>
      </c>
      <c r="AG67" s="67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906.3000000000002</v>
      </c>
      <c r="C68" s="109">
        <f t="shared" si="15"/>
        <v>0</v>
      </c>
      <c r="D68" s="67">
        <f t="shared" si="15"/>
        <v>0</v>
      </c>
      <c r="E68" s="67">
        <f t="shared" si="15"/>
        <v>0</v>
      </c>
      <c r="F68" s="67">
        <f t="shared" si="15"/>
        <v>86.6</v>
      </c>
      <c r="G68" s="67">
        <f t="shared" si="15"/>
        <v>0</v>
      </c>
      <c r="H68" s="67">
        <f t="shared" si="15"/>
        <v>0</v>
      </c>
      <c r="I68" s="67">
        <f t="shared" si="15"/>
        <v>26.099999999999994</v>
      </c>
      <c r="J68" s="67">
        <f t="shared" si="15"/>
        <v>0</v>
      </c>
      <c r="K68" s="67">
        <f t="shared" si="15"/>
        <v>157.5999999999999</v>
      </c>
      <c r="L68" s="67">
        <f t="shared" si="15"/>
        <v>0</v>
      </c>
      <c r="M68" s="67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4.7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98.80000000000003</v>
      </c>
      <c r="V68" s="67">
        <f t="shared" si="15"/>
        <v>135.39999999999998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509.1999999999999</v>
      </c>
      <c r="AG68" s="67">
        <f>AG62-AG63-AG66-AG67-AG65-AG64</f>
        <v>397.1000000000001</v>
      </c>
    </row>
    <row r="69" spans="1:33" ht="31.5">
      <c r="A69" s="4" t="s">
        <v>45</v>
      </c>
      <c r="B69" s="72">
        <v>3529.6</v>
      </c>
      <c r="C69" s="109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.7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1.5">
      <c r="A71" s="4" t="s">
        <v>46</v>
      </c>
      <c r="B71" s="109">
        <f>900+28.35</f>
        <v>928.35</v>
      </c>
      <c r="C71" s="122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>
        <v>791.9</v>
      </c>
      <c r="V71" s="80">
        <v>24.2</v>
      </c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816.1</v>
      </c>
      <c r="AG71" s="82">
        <f t="shared" si="16"/>
        <v>112.25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f>1298.6+35</f>
        <v>1333.6</v>
      </c>
      <c r="C72" s="109">
        <v>130.60000000000002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>
        <v>179.1</v>
      </c>
      <c r="U72" s="72">
        <v>27</v>
      </c>
      <c r="V72" s="72">
        <v>47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691.3</v>
      </c>
      <c r="AG72" s="82">
        <f t="shared" si="16"/>
        <v>772.8999999999999</v>
      </c>
    </row>
    <row r="73" spans="1:33" ht="15" customHeight="1">
      <c r="A73" s="3" t="s">
        <v>5</v>
      </c>
      <c r="B73" s="109">
        <f>74.5+16.4</f>
        <v>90.9</v>
      </c>
      <c r="C73" s="109">
        <v>0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>
        <v>45.4</v>
      </c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90.8</v>
      </c>
      <c r="AG73" s="82">
        <f t="shared" si="16"/>
        <v>0.10000000000000853</v>
      </c>
    </row>
    <row r="74" spans="1:33" ht="15" customHeight="1">
      <c r="A74" s="3" t="s">
        <v>2</v>
      </c>
      <c r="B74" s="109">
        <f>209.1+5.8+74.7</f>
        <v>289.6</v>
      </c>
      <c r="C74" s="109">
        <v>0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92.90000000000003</v>
      </c>
    </row>
    <row r="75" spans="1:33" ht="15" customHeight="1">
      <c r="A75" s="3" t="s">
        <v>16</v>
      </c>
      <c r="B75" s="109">
        <v>14.1</v>
      </c>
      <c r="C75" s="109">
        <v>0.09999999999999964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>
        <v>7.1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7.1</v>
      </c>
      <c r="AG75" s="82">
        <f t="shared" si="16"/>
        <v>7.1</v>
      </c>
    </row>
    <row r="76" spans="1:35" s="11" customFormat="1" ht="15.75">
      <c r="A76" s="12" t="s">
        <v>48</v>
      </c>
      <c r="B76" s="109">
        <v>169</v>
      </c>
      <c r="C76" s="109">
        <v>18.299999999999997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>
        <v>78.2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108.6</v>
      </c>
      <c r="AG76" s="82">
        <f t="shared" si="16"/>
        <v>78.70000000000002</v>
      </c>
      <c r="AI76" s="128"/>
    </row>
    <row r="77" spans="1:33" s="11" customFormat="1" ht="15.75">
      <c r="A77" s="3" t="s">
        <v>5</v>
      </c>
      <c r="B77" s="109">
        <f>95.5+21</f>
        <v>116.5</v>
      </c>
      <c r="C77" s="109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>
        <v>76</v>
      </c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101.4</v>
      </c>
      <c r="AG77" s="82">
        <f t="shared" si="16"/>
        <v>22.89999999999999</v>
      </c>
    </row>
    <row r="78" spans="1:33" s="11" customFormat="1" ht="15.7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.7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.75">
      <c r="A80" s="3" t="s">
        <v>2</v>
      </c>
      <c r="B80" s="109">
        <f>6.3+0.1+1</f>
        <v>7.3999999999999995</v>
      </c>
      <c r="C80" s="109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.75">
      <c r="A81" s="12" t="s">
        <v>49</v>
      </c>
      <c r="B81" s="109">
        <v>0</v>
      </c>
      <c r="C81" s="122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.7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.7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.7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.7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1.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1.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.7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.75">
      <c r="A89" s="4" t="s">
        <v>50</v>
      </c>
      <c r="B89" s="109">
        <v>3932.8</v>
      </c>
      <c r="C89" s="109">
        <v>2797.8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>
        <v>84</v>
      </c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1979.3999999999999</v>
      </c>
      <c r="AG89" s="67">
        <f t="shared" si="16"/>
        <v>4751.200000000001</v>
      </c>
      <c r="AH89" s="11"/>
      <c r="AI89" s="86"/>
    </row>
    <row r="90" spans="1:34" ht="15.75">
      <c r="A90" s="4" t="s">
        <v>51</v>
      </c>
      <c r="B90" s="109">
        <f>2457.1+1062.3</f>
        <v>3519.3999999999996</v>
      </c>
      <c r="C90" s="109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>
        <v>1173.2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67">
        <f t="shared" si="16"/>
        <v>0</v>
      </c>
      <c r="AH90" s="11"/>
    </row>
    <row r="91" spans="1:34" ht="15.75">
      <c r="A91" s="4" t="s">
        <v>25</v>
      </c>
      <c r="B91" s="109">
        <v>1416.7</v>
      </c>
      <c r="C91" s="109">
        <v>1416.7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2833.4</v>
      </c>
      <c r="AH91" s="11"/>
    </row>
    <row r="92" spans="1:34" ht="15.75">
      <c r="A92" s="4" t="s">
        <v>37</v>
      </c>
      <c r="B92" s="109">
        <v>0</v>
      </c>
      <c r="C92" s="109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.7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168012.69999999998</v>
      </c>
      <c r="C94" s="124">
        <f t="shared" si="17"/>
        <v>12960.900000000012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12931.3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333.20000000000005</v>
      </c>
      <c r="S94" s="83">
        <f t="shared" si="17"/>
        <v>2257</v>
      </c>
      <c r="T94" s="83">
        <f t="shared" si="17"/>
        <v>3792.8999999999996</v>
      </c>
      <c r="U94" s="83">
        <f t="shared" si="17"/>
        <v>62153.59999999999</v>
      </c>
      <c r="V94" s="83">
        <f t="shared" si="17"/>
        <v>5601</v>
      </c>
      <c r="W94" s="83">
        <f t="shared" si="17"/>
        <v>1270.2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133547.2</v>
      </c>
      <c r="AG94" s="84">
        <f>AG10+AG15+AG24+AG33+AG47+AG52+AG54+AG61+AG62+AG69+AG71+AG72+AG76+AG81+AG82+AG83+AG88+AG89+AG90+AG91+AG70+AG40+AG92</f>
        <v>47426.4</v>
      </c>
    </row>
    <row r="95" spans="1:33" ht="15.75">
      <c r="A95" s="3" t="s">
        <v>5</v>
      </c>
      <c r="B95" s="22">
        <f aca="true" t="shared" si="18" ref="B95:AD95">B11+B17+B26+B34+B55+B63+B73+B41+B77+B48</f>
        <v>75812.9</v>
      </c>
      <c r="C95" s="109">
        <f t="shared" si="18"/>
        <v>64.10000000000109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973</v>
      </c>
      <c r="T95" s="67">
        <f t="shared" si="18"/>
        <v>810.6</v>
      </c>
      <c r="U95" s="67">
        <f t="shared" si="18"/>
        <v>37924.399999999994</v>
      </c>
      <c r="V95" s="67">
        <f t="shared" si="18"/>
        <v>3427.9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70799.39999999998</v>
      </c>
      <c r="AG95" s="71">
        <f>B95+C95-AF95</f>
        <v>5077.60000000002</v>
      </c>
    </row>
    <row r="96" spans="1:33" ht="15.75">
      <c r="A96" s="3" t="s">
        <v>2</v>
      </c>
      <c r="B96" s="22">
        <f aca="true" t="shared" si="19" ref="B96:AD96">B12+B20+B29+B36+B57+B66+B44+B80+B74+B53</f>
        <v>26423.700000000004</v>
      </c>
      <c r="C96" s="109">
        <f t="shared" si="19"/>
        <v>8.300000000000045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115.5</v>
      </c>
      <c r="I96" s="67">
        <f t="shared" si="19"/>
        <v>186.9</v>
      </c>
      <c r="J96" s="67">
        <f t="shared" si="19"/>
        <v>15</v>
      </c>
      <c r="K96" s="67">
        <f t="shared" si="19"/>
        <v>293.99999999999994</v>
      </c>
      <c r="L96" s="67">
        <f t="shared" si="19"/>
        <v>167</v>
      </c>
      <c r="M96" s="67">
        <f t="shared" si="19"/>
        <v>27.1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178.8</v>
      </c>
      <c r="S96" s="67">
        <f t="shared" si="19"/>
        <v>824.6</v>
      </c>
      <c r="T96" s="67">
        <f t="shared" si="19"/>
        <v>271.09999999999997</v>
      </c>
      <c r="U96" s="67">
        <f t="shared" si="19"/>
        <v>7000.499999999999</v>
      </c>
      <c r="V96" s="67">
        <f t="shared" si="19"/>
        <v>1317.8</v>
      </c>
      <c r="W96" s="67">
        <f t="shared" si="19"/>
        <v>1.6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11011.799999999997</v>
      </c>
      <c r="AG96" s="71">
        <f>B96+C96-AF96</f>
        <v>15420.200000000006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8695.800000000001</v>
      </c>
      <c r="C98" s="109">
        <f t="shared" si="21"/>
        <v>0.0999999999999659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530.2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76.9</v>
      </c>
      <c r="S98" s="67">
        <f t="shared" si="21"/>
        <v>443.5</v>
      </c>
      <c r="T98" s="67">
        <f t="shared" si="21"/>
        <v>72.7</v>
      </c>
      <c r="U98" s="67">
        <f t="shared" si="21"/>
        <v>215.6</v>
      </c>
      <c r="V98" s="67">
        <f t="shared" si="21"/>
        <v>70.3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2671.3</v>
      </c>
      <c r="AG98" s="71">
        <f>B98+C98-AF98</f>
        <v>6024.600000000001</v>
      </c>
    </row>
    <row r="99" spans="1:33" ht="15.75">
      <c r="A99" s="3" t="s">
        <v>16</v>
      </c>
      <c r="B99" s="22">
        <f aca="true" t="shared" si="22" ref="B99:X99">B21+B30+B49+B37+B58+B13+B75+B67</f>
        <v>2378.3</v>
      </c>
      <c r="C99" s="109">
        <f t="shared" si="22"/>
        <v>110.1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688.1</v>
      </c>
      <c r="U99" s="67">
        <f t="shared" si="22"/>
        <v>20.299999999999997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1673.5000000000002</v>
      </c>
      <c r="AG99" s="71">
        <f>B99+C99-AF99</f>
        <v>814.8999999999999</v>
      </c>
    </row>
    <row r="100" spans="1:33" ht="12.75">
      <c r="A100" s="1" t="s">
        <v>35</v>
      </c>
      <c r="B100" s="2">
        <f aca="true" t="shared" si="24" ref="B100:AD100">B94-B95-B96-B97-B98-B99</f>
        <v>54701.99999999997</v>
      </c>
      <c r="C100" s="20">
        <f t="shared" si="24"/>
        <v>12778.300000000012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11.400000000000006</v>
      </c>
      <c r="I100" s="85">
        <f t="shared" si="24"/>
        <v>1054.8999999999999</v>
      </c>
      <c r="J100" s="85">
        <f t="shared" si="24"/>
        <v>2418.7</v>
      </c>
      <c r="K100" s="85">
        <f t="shared" si="24"/>
        <v>531.7000000000007</v>
      </c>
      <c r="L100" s="85">
        <f t="shared" si="24"/>
        <v>11076.899999999996</v>
      </c>
      <c r="M100" s="85">
        <f t="shared" si="24"/>
        <v>101.59999999999997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77.50000000000003</v>
      </c>
      <c r="S100" s="85">
        <f t="shared" si="24"/>
        <v>15.899999999999977</v>
      </c>
      <c r="T100" s="85">
        <f t="shared" si="24"/>
        <v>1950.4</v>
      </c>
      <c r="U100" s="85">
        <f t="shared" si="24"/>
        <v>16992.8</v>
      </c>
      <c r="V100" s="85">
        <f t="shared" si="24"/>
        <v>785</v>
      </c>
      <c r="W100" s="85">
        <f t="shared" si="24"/>
        <v>1268.6000000000001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47391.20000000003</v>
      </c>
      <c r="AG100" s="85">
        <f>AG94-AG95-AG96-AG97-AG98-AG99</f>
        <v>20089.099999999973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J4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52" sqref="AG5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1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43" customWidth="1"/>
    <col min="21" max="21" width="9.00390625" style="0" customWidth="1"/>
    <col min="22" max="22" width="11.00390625" style="0" customWidth="1"/>
    <col min="24" max="24" width="8.87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0" t="s">
        <v>12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</row>
    <row r="2" spans="1:33" ht="22.5" customHeight="1">
      <c r="A2" s="161" t="s">
        <v>56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55</v>
      </c>
      <c r="C4" s="90" t="s">
        <v>18</v>
      </c>
      <c r="D4" s="9">
        <v>1</v>
      </c>
      <c r="E4" s="8">
        <v>2</v>
      </c>
      <c r="F4" s="8">
        <v>3</v>
      </c>
      <c r="G4" s="8">
        <v>5</v>
      </c>
      <c r="H4" s="8">
        <v>6</v>
      </c>
      <c r="I4" s="8">
        <v>7</v>
      </c>
      <c r="J4" s="19">
        <v>12</v>
      </c>
      <c r="K4" s="8">
        <v>13</v>
      </c>
      <c r="L4" s="8">
        <v>14</v>
      </c>
      <c r="M4" s="8">
        <v>15</v>
      </c>
      <c r="N4" s="8">
        <v>16</v>
      </c>
      <c r="O4" s="8">
        <v>19</v>
      </c>
      <c r="P4" s="8">
        <v>20</v>
      </c>
      <c r="Q4" s="8">
        <v>21</v>
      </c>
      <c r="R4" s="8">
        <v>22</v>
      </c>
      <c r="S4" s="19">
        <v>23</v>
      </c>
      <c r="T4" s="144">
        <v>26</v>
      </c>
      <c r="U4" s="8">
        <v>27</v>
      </c>
      <c r="V4" s="8">
        <v>28</v>
      </c>
      <c r="W4" s="8">
        <v>29</v>
      </c>
      <c r="X4" s="19">
        <v>30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145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145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41182.5</v>
      </c>
      <c r="C7" s="93">
        <v>19140.8</v>
      </c>
      <c r="D7" s="38">
        <v>0</v>
      </c>
      <c r="E7" s="38">
        <f>11001.5+9589.8</f>
        <v>20591.3</v>
      </c>
      <c r="F7" s="38"/>
      <c r="G7" s="38"/>
      <c r="H7" s="56"/>
      <c r="I7" s="38"/>
      <c r="J7" s="39"/>
      <c r="K7" s="38">
        <v>20591.2</v>
      </c>
      <c r="L7" s="38"/>
      <c r="M7" s="38"/>
      <c r="N7" s="38"/>
      <c r="O7" s="38"/>
      <c r="P7" s="38"/>
      <c r="Q7" s="38"/>
      <c r="R7" s="38"/>
      <c r="S7" s="39"/>
      <c r="T7" s="145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17111.100000000002</v>
      </c>
      <c r="AF7" s="54"/>
      <c r="AG7" s="40"/>
    </row>
    <row r="8" spans="1:55" ht="18" customHeight="1">
      <c r="A8" s="47" t="s">
        <v>30</v>
      </c>
      <c r="B8" s="33">
        <f>SUM(E8:AB8)</f>
        <v>119561.50000000001</v>
      </c>
      <c r="C8" s="96">
        <v>106389.77000000003</v>
      </c>
      <c r="D8" s="59">
        <v>14510.3</v>
      </c>
      <c r="E8" s="60">
        <v>4404.8</v>
      </c>
      <c r="F8" s="61">
        <v>3835.6</v>
      </c>
      <c r="G8" s="61">
        <v>1492.4</v>
      </c>
      <c r="H8" s="61">
        <v>2927.4</v>
      </c>
      <c r="I8" s="61">
        <v>6747.1</v>
      </c>
      <c r="J8" s="61">
        <v>12476.1</v>
      </c>
      <c r="K8" s="62">
        <v>1588.3</v>
      </c>
      <c r="L8" s="61">
        <v>1434.4</v>
      </c>
      <c r="M8" s="61">
        <v>3966.1</v>
      </c>
      <c r="N8" s="61">
        <v>8406.2</v>
      </c>
      <c r="O8" s="61">
        <v>16873.4</v>
      </c>
      <c r="P8" s="61">
        <v>3775.2</v>
      </c>
      <c r="Q8" s="61">
        <v>5810.2</v>
      </c>
      <c r="R8" s="61">
        <v>3337.2</v>
      </c>
      <c r="S8" s="63">
        <v>5816.6</v>
      </c>
      <c r="T8" s="146">
        <v>6945.2</v>
      </c>
      <c r="U8" s="61">
        <v>3361.9</v>
      </c>
      <c r="V8" s="61">
        <v>6064.6</v>
      </c>
      <c r="W8" s="61">
        <v>5510.6</v>
      </c>
      <c r="X8" s="62">
        <v>14788.2</v>
      </c>
      <c r="Y8" s="62"/>
      <c r="Z8" s="62"/>
      <c r="AA8" s="62"/>
      <c r="AB8" s="61"/>
      <c r="AC8" s="64"/>
      <c r="AD8" s="64"/>
      <c r="AE8" s="65">
        <f>SUM(D8:AD8)+C8-AF9+AF16+AF25</f>
        <v>131563.7700000001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206815.8</v>
      </c>
      <c r="C9" s="105">
        <f aca="true" t="shared" si="0" ref="C9:AD9">C10+C15+C24+C33+C47+C52+C54+C61+C62+C71+C72+C88+C76+C81+C83+C82+C69+C89+C90+C91+C70+C40+C92</f>
        <v>44593</v>
      </c>
      <c r="D9" s="68">
        <f t="shared" si="0"/>
        <v>161.8</v>
      </c>
      <c r="E9" s="68">
        <f t="shared" si="0"/>
        <v>2433.1</v>
      </c>
      <c r="F9" s="68">
        <f t="shared" si="0"/>
        <v>1772.5000000000002</v>
      </c>
      <c r="G9" s="68">
        <f t="shared" si="0"/>
        <v>903</v>
      </c>
      <c r="H9" s="68">
        <f t="shared" si="0"/>
        <v>3442.2</v>
      </c>
      <c r="I9" s="68">
        <f t="shared" si="0"/>
        <v>4106.9</v>
      </c>
      <c r="J9" s="68">
        <f t="shared" si="0"/>
        <v>13654.7</v>
      </c>
      <c r="K9" s="68">
        <f t="shared" si="0"/>
        <v>31810.2</v>
      </c>
      <c r="L9" s="68">
        <f t="shared" si="0"/>
        <v>1194.6</v>
      </c>
      <c r="M9" s="68">
        <f t="shared" si="0"/>
        <v>449.20000000000005</v>
      </c>
      <c r="N9" s="68">
        <f t="shared" si="0"/>
        <v>2489.8</v>
      </c>
      <c r="O9" s="68">
        <f t="shared" si="0"/>
        <v>5447.1</v>
      </c>
      <c r="P9" s="68">
        <f t="shared" si="0"/>
        <v>3174.5</v>
      </c>
      <c r="Q9" s="68">
        <f t="shared" si="0"/>
        <v>5296</v>
      </c>
      <c r="R9" s="68">
        <f t="shared" si="0"/>
        <v>1875.8000000000002</v>
      </c>
      <c r="S9" s="68">
        <f t="shared" si="0"/>
        <v>2423.5</v>
      </c>
      <c r="T9" s="147">
        <f t="shared" si="0"/>
        <v>12003.999999999998</v>
      </c>
      <c r="U9" s="68">
        <f t="shared" si="0"/>
        <v>48886.999999999985</v>
      </c>
      <c r="V9" s="68">
        <f t="shared" si="0"/>
        <v>8105.9</v>
      </c>
      <c r="W9" s="68">
        <f t="shared" si="0"/>
        <v>1305.0000000000002</v>
      </c>
      <c r="X9" s="68">
        <f t="shared" si="0"/>
        <v>1173.2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152109.99999999997</v>
      </c>
      <c r="AG9" s="69">
        <f>AG10+AG15+AG24+AG33+AG47+AG52+AG54+AG61+AG62+AG71+AG72+AG76+AG88+AG81+AG83+AG82+AG69+AG89+AG91+AG90+AG70+AG40+AG92</f>
        <v>99298.8</v>
      </c>
      <c r="AH9" s="41"/>
      <c r="AI9" s="41"/>
    </row>
    <row r="10" spans="1:34" ht="15.75">
      <c r="A10" s="4" t="s">
        <v>4</v>
      </c>
      <c r="B10" s="72">
        <f>18540+46.7+65.8</f>
        <v>18652.5</v>
      </c>
      <c r="C10" s="109">
        <v>3568.4999999999964</v>
      </c>
      <c r="D10" s="67">
        <f>74.9+86.9</f>
        <v>161.8</v>
      </c>
      <c r="E10" s="67">
        <v>106.7</v>
      </c>
      <c r="F10" s="67">
        <v>37</v>
      </c>
      <c r="G10" s="67">
        <v>36.4</v>
      </c>
      <c r="H10" s="67">
        <v>137.2</v>
      </c>
      <c r="I10" s="67">
        <v>104.7</v>
      </c>
      <c r="J10" s="70">
        <v>504.5</v>
      </c>
      <c r="K10" s="67">
        <v>4467.2</v>
      </c>
      <c r="L10" s="67">
        <f>735.6-139.8</f>
        <v>595.8</v>
      </c>
      <c r="M10" s="67">
        <v>245.4</v>
      </c>
      <c r="N10" s="67">
        <v>6.3</v>
      </c>
      <c r="O10" s="71">
        <v>16.4</v>
      </c>
      <c r="P10" s="67">
        <v>85.1</v>
      </c>
      <c r="Q10" s="67">
        <v>14.8</v>
      </c>
      <c r="R10" s="67">
        <v>2.9</v>
      </c>
      <c r="S10" s="72">
        <v>33.4</v>
      </c>
      <c r="T10" s="148">
        <v>286.6</v>
      </c>
      <c r="U10" s="72">
        <v>1716.6</v>
      </c>
      <c r="V10" s="72">
        <v>7562.5</v>
      </c>
      <c r="W10" s="72">
        <v>969.2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17090.5</v>
      </c>
      <c r="AG10" s="71">
        <f>B10+C10-AF10</f>
        <v>5130.499999999996</v>
      </c>
      <c r="AH10" s="18"/>
    </row>
    <row r="11" spans="1:34" ht="15.75">
      <c r="A11" s="3" t="s">
        <v>5</v>
      </c>
      <c r="B11" s="72">
        <f>17358.2+68.5</f>
        <v>17426.7</v>
      </c>
      <c r="C11" s="109">
        <v>2456.300000000003</v>
      </c>
      <c r="D11" s="67">
        <v>52.7</v>
      </c>
      <c r="E11" s="67"/>
      <c r="F11" s="67">
        <v>9.8</v>
      </c>
      <c r="G11" s="67">
        <v>18.7</v>
      </c>
      <c r="H11" s="67">
        <v>6.1</v>
      </c>
      <c r="I11" s="67">
        <v>92.1</v>
      </c>
      <c r="J11" s="72">
        <v>475.7</v>
      </c>
      <c r="K11" s="67">
        <v>4462.8</v>
      </c>
      <c r="L11" s="67">
        <v>595</v>
      </c>
      <c r="M11" s="67">
        <v>196.7</v>
      </c>
      <c r="N11" s="67"/>
      <c r="O11" s="71"/>
      <c r="P11" s="67"/>
      <c r="Q11" s="67"/>
      <c r="R11" s="67"/>
      <c r="S11" s="72"/>
      <c r="T11" s="148">
        <v>276.8</v>
      </c>
      <c r="U11" s="72">
        <v>1621.4</v>
      </c>
      <c r="V11" s="72">
        <v>7206.7</v>
      </c>
      <c r="W11" s="72">
        <v>948.5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15963</v>
      </c>
      <c r="AG11" s="71">
        <f>B11+C11-AF11</f>
        <v>3920.0000000000036</v>
      </c>
      <c r="AH11" s="18"/>
    </row>
    <row r="12" spans="1:34" ht="15.75">
      <c r="A12" s="3" t="s">
        <v>2</v>
      </c>
      <c r="B12" s="70">
        <f>370.8-0.3</f>
        <v>370.5</v>
      </c>
      <c r="C12" s="109">
        <v>406.0999999999999</v>
      </c>
      <c r="D12" s="67">
        <v>86.9</v>
      </c>
      <c r="E12" s="67">
        <v>53.1</v>
      </c>
      <c r="F12" s="67">
        <v>5.3</v>
      </c>
      <c r="G12" s="67"/>
      <c r="H12" s="67">
        <v>4.7</v>
      </c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>
        <v>17</v>
      </c>
      <c r="T12" s="148"/>
      <c r="U12" s="72">
        <v>71.3</v>
      </c>
      <c r="V12" s="72">
        <v>284.2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522.5</v>
      </c>
      <c r="AG12" s="71">
        <f>B12+C12-AF12</f>
        <v>254.0999999999999</v>
      </c>
      <c r="AH12" s="18"/>
    </row>
    <row r="13" spans="1:34" ht="15.7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148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855.2999999999993</v>
      </c>
      <c r="C14" s="109">
        <f t="shared" si="2"/>
        <v>706.0999999999935</v>
      </c>
      <c r="D14" s="67">
        <f t="shared" si="2"/>
        <v>22.200000000000003</v>
      </c>
      <c r="E14" s="67">
        <f t="shared" si="2"/>
        <v>53.6</v>
      </c>
      <c r="F14" s="67">
        <f t="shared" si="2"/>
        <v>21.9</v>
      </c>
      <c r="G14" s="67">
        <f t="shared" si="2"/>
        <v>17.7</v>
      </c>
      <c r="H14" s="67">
        <f t="shared" si="2"/>
        <v>126.39999999999999</v>
      </c>
      <c r="I14" s="67">
        <f t="shared" si="2"/>
        <v>12.600000000000009</v>
      </c>
      <c r="J14" s="67">
        <f t="shared" si="2"/>
        <v>28.80000000000001</v>
      </c>
      <c r="K14" s="67">
        <f t="shared" si="2"/>
        <v>4.399999999999636</v>
      </c>
      <c r="L14" s="67">
        <f t="shared" si="2"/>
        <v>0.7999999999999545</v>
      </c>
      <c r="M14" s="67">
        <f t="shared" si="2"/>
        <v>48.70000000000002</v>
      </c>
      <c r="N14" s="67">
        <f t="shared" si="2"/>
        <v>6.3</v>
      </c>
      <c r="O14" s="67">
        <f t="shared" si="2"/>
        <v>16.4</v>
      </c>
      <c r="P14" s="67">
        <f t="shared" si="2"/>
        <v>85.1</v>
      </c>
      <c r="Q14" s="67">
        <f t="shared" si="2"/>
        <v>14.8</v>
      </c>
      <c r="R14" s="67">
        <f t="shared" si="2"/>
        <v>2.9</v>
      </c>
      <c r="S14" s="67">
        <f t="shared" si="2"/>
        <v>16.4</v>
      </c>
      <c r="T14" s="148">
        <f t="shared" si="2"/>
        <v>9.800000000000011</v>
      </c>
      <c r="U14" s="67">
        <f t="shared" si="2"/>
        <v>23.89999999999982</v>
      </c>
      <c r="V14" s="67">
        <f t="shared" si="2"/>
        <v>71.6000000000002</v>
      </c>
      <c r="W14" s="67">
        <f t="shared" si="2"/>
        <v>20.700000000000045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604.9999999999998</v>
      </c>
      <c r="AG14" s="72">
        <f>AG10-AG11-AG12-AG13</f>
        <v>956.3999999999928</v>
      </c>
      <c r="AH14" s="18"/>
    </row>
    <row r="15" spans="1:35" ht="15" customHeight="1">
      <c r="A15" s="4" t="s">
        <v>6</v>
      </c>
      <c r="B15" s="72">
        <f>78671-6387.9+16</f>
        <v>72299.1</v>
      </c>
      <c r="C15" s="109">
        <v>22513.800000000017</v>
      </c>
      <c r="D15" s="73"/>
      <c r="E15" s="73">
        <f>60.1+4.3</f>
        <v>64.4</v>
      </c>
      <c r="F15" s="67">
        <v>1251.2</v>
      </c>
      <c r="G15" s="67"/>
      <c r="H15" s="67"/>
      <c r="I15" s="67">
        <v>2463.2</v>
      </c>
      <c r="J15" s="72"/>
      <c r="K15" s="67">
        <v>25258.1</v>
      </c>
      <c r="L15" s="67">
        <v>204.9</v>
      </c>
      <c r="M15" s="67">
        <v>66.2</v>
      </c>
      <c r="N15" s="67">
        <v>1991.6</v>
      </c>
      <c r="O15" s="71">
        <v>1935.4</v>
      </c>
      <c r="P15" s="67">
        <v>1346.4</v>
      </c>
      <c r="Q15" s="71">
        <v>3127.7</v>
      </c>
      <c r="R15" s="67">
        <v>1586.3</v>
      </c>
      <c r="S15" s="72">
        <v>2096.9</v>
      </c>
      <c r="T15" s="148">
        <v>3.3</v>
      </c>
      <c r="U15" s="72">
        <f>23817.2+9968.6</f>
        <v>33785.8</v>
      </c>
      <c r="V15" s="72">
        <v>102.3</v>
      </c>
      <c r="W15" s="72">
        <v>1.5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75285.20000000001</v>
      </c>
      <c r="AG15" s="72">
        <f aca="true" t="shared" si="3" ref="AG15:AG31">B15+C15-AF15</f>
        <v>19527.70000000001</v>
      </c>
      <c r="AH15" s="18"/>
      <c r="AI15" s="86"/>
    </row>
    <row r="16" spans="1:34" s="53" customFormat="1" ht="15" customHeight="1">
      <c r="A16" s="51" t="s">
        <v>38</v>
      </c>
      <c r="B16" s="76">
        <v>19179.6</v>
      </c>
      <c r="C16" s="114">
        <v>105.0999999999949</v>
      </c>
      <c r="D16" s="74"/>
      <c r="E16" s="74">
        <v>4.3</v>
      </c>
      <c r="F16" s="75"/>
      <c r="G16" s="75"/>
      <c r="H16" s="75"/>
      <c r="I16" s="75"/>
      <c r="J16" s="76"/>
      <c r="K16" s="75">
        <v>9215.1</v>
      </c>
      <c r="L16" s="75"/>
      <c r="M16" s="75"/>
      <c r="N16" s="75"/>
      <c r="O16" s="77"/>
      <c r="P16" s="75"/>
      <c r="Q16" s="77"/>
      <c r="R16" s="75"/>
      <c r="S16" s="76"/>
      <c r="T16" s="149"/>
      <c r="U16" s="76">
        <v>9968.6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19188</v>
      </c>
      <c r="AG16" s="115">
        <f t="shared" si="3"/>
        <v>96.69999999999345</v>
      </c>
      <c r="AH16" s="116"/>
    </row>
    <row r="17" spans="1:34" ht="15.75">
      <c r="A17" s="3" t="s">
        <v>5</v>
      </c>
      <c r="B17" s="72">
        <f>52609.7-3187.9</f>
        <v>49421.799999999996</v>
      </c>
      <c r="C17" s="109">
        <v>2351.800000000003</v>
      </c>
      <c r="D17" s="67"/>
      <c r="E17" s="67">
        <f>30.7+4.3</f>
        <v>35</v>
      </c>
      <c r="F17" s="67">
        <v>37.1</v>
      </c>
      <c r="G17" s="67"/>
      <c r="H17" s="67"/>
      <c r="I17" s="67"/>
      <c r="J17" s="72"/>
      <c r="K17" s="67">
        <v>20227.5</v>
      </c>
      <c r="L17" s="67"/>
      <c r="M17" s="67"/>
      <c r="N17" s="67"/>
      <c r="O17" s="71"/>
      <c r="P17" s="67"/>
      <c r="Q17" s="71"/>
      <c r="R17" s="67"/>
      <c r="S17" s="72"/>
      <c r="T17" s="148">
        <v>2</v>
      </c>
      <c r="U17" s="72">
        <f>19814.4+9968.6</f>
        <v>29783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50084.6</v>
      </c>
      <c r="AG17" s="72">
        <f t="shared" si="3"/>
        <v>1689</v>
      </c>
      <c r="AH17" s="21"/>
    </row>
    <row r="18" spans="1:34" ht="15.75">
      <c r="A18" s="3" t="s">
        <v>3</v>
      </c>
      <c r="B18" s="72">
        <v>30.8</v>
      </c>
      <c r="C18" s="109">
        <v>0</v>
      </c>
      <c r="D18" s="67"/>
      <c r="E18" s="67"/>
      <c r="F18" s="67"/>
      <c r="G18" s="67"/>
      <c r="H18" s="67"/>
      <c r="I18" s="67">
        <v>3.4</v>
      </c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148"/>
      <c r="U18" s="72">
        <v>5.4</v>
      </c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8.8</v>
      </c>
      <c r="AG18" s="72">
        <f t="shared" si="3"/>
        <v>22</v>
      </c>
      <c r="AH18" s="18"/>
    </row>
    <row r="19" spans="1:34" ht="15.75">
      <c r="A19" s="3" t="s">
        <v>1</v>
      </c>
      <c r="B19" s="72">
        <f>5058-3200</f>
        <v>1858</v>
      </c>
      <c r="C19" s="109">
        <v>5983.100000000001</v>
      </c>
      <c r="D19" s="67"/>
      <c r="E19" s="67"/>
      <c r="F19" s="67">
        <v>91.4</v>
      </c>
      <c r="G19" s="67"/>
      <c r="H19" s="67"/>
      <c r="I19" s="67">
        <v>327.2</v>
      </c>
      <c r="J19" s="72"/>
      <c r="K19" s="67">
        <v>264.1</v>
      </c>
      <c r="L19" s="67"/>
      <c r="M19" s="67">
        <v>9.2</v>
      </c>
      <c r="N19" s="67">
        <v>95.9</v>
      </c>
      <c r="O19" s="71">
        <v>74.6</v>
      </c>
      <c r="P19" s="67">
        <v>15.1</v>
      </c>
      <c r="Q19" s="71">
        <v>25</v>
      </c>
      <c r="R19" s="67">
        <v>206.8</v>
      </c>
      <c r="S19" s="72">
        <v>75.6</v>
      </c>
      <c r="T19" s="148">
        <v>0.4</v>
      </c>
      <c r="U19" s="72">
        <v>2993.6</v>
      </c>
      <c r="V19" s="72">
        <v>83.8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4262.7</v>
      </c>
      <c r="AG19" s="72">
        <f t="shared" si="3"/>
        <v>3578.4000000000015</v>
      </c>
      <c r="AH19" s="18"/>
    </row>
    <row r="20" spans="1:34" ht="15.75">
      <c r="A20" s="3" t="s">
        <v>2</v>
      </c>
      <c r="B20" s="72">
        <v>17197.4</v>
      </c>
      <c r="C20" s="109">
        <v>13252.699999999997</v>
      </c>
      <c r="D20" s="67"/>
      <c r="E20" s="67"/>
      <c r="F20" s="67">
        <v>1078.7</v>
      </c>
      <c r="G20" s="67"/>
      <c r="H20" s="67"/>
      <c r="I20" s="67">
        <v>2077.1</v>
      </c>
      <c r="J20" s="72"/>
      <c r="K20" s="67">
        <v>4723</v>
      </c>
      <c r="L20" s="67">
        <v>204.5</v>
      </c>
      <c r="M20" s="67"/>
      <c r="N20" s="67">
        <v>1867.4</v>
      </c>
      <c r="O20" s="71">
        <v>1644.3</v>
      </c>
      <c r="P20" s="67">
        <v>1147.4</v>
      </c>
      <c r="Q20" s="71">
        <v>2807.9</v>
      </c>
      <c r="R20" s="67">
        <v>1264.2</v>
      </c>
      <c r="S20" s="72">
        <v>1486.3</v>
      </c>
      <c r="T20" s="148">
        <v>0.9</v>
      </c>
      <c r="U20" s="72">
        <v>773</v>
      </c>
      <c r="V20" s="72">
        <v>10.7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19085.4</v>
      </c>
      <c r="AG20" s="72">
        <f t="shared" si="3"/>
        <v>11364.699999999997</v>
      </c>
      <c r="AH20" s="18"/>
    </row>
    <row r="21" spans="1:34" ht="15.75">
      <c r="A21" s="3" t="s">
        <v>16</v>
      </c>
      <c r="B21" s="72">
        <v>1078.4</v>
      </c>
      <c r="C21" s="109">
        <v>110.40000000000009</v>
      </c>
      <c r="D21" s="67"/>
      <c r="E21" s="67"/>
      <c r="F21" s="67"/>
      <c r="G21" s="67"/>
      <c r="H21" s="67"/>
      <c r="I21" s="67"/>
      <c r="J21" s="72"/>
      <c r="K21" s="67">
        <v>10.6</v>
      </c>
      <c r="L21" s="67"/>
      <c r="M21" s="67">
        <v>57</v>
      </c>
      <c r="N21" s="67"/>
      <c r="O21" s="71">
        <f>168.9+31.7</f>
        <v>200.6</v>
      </c>
      <c r="P21" s="67">
        <f>165.3+10.6</f>
        <v>175.9</v>
      </c>
      <c r="Q21" s="71"/>
      <c r="R21" s="67"/>
      <c r="S21" s="72">
        <v>439.5</v>
      </c>
      <c r="T21" s="148"/>
      <c r="U21" s="67">
        <f>199.1+10.6</f>
        <v>209.7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1093.3</v>
      </c>
      <c r="AG21" s="72">
        <f t="shared" si="3"/>
        <v>95.50000000000023</v>
      </c>
      <c r="AH21" s="18"/>
    </row>
    <row r="22" spans="1:34" ht="15.7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148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2712.7000000000094</v>
      </c>
      <c r="C23" s="109">
        <f t="shared" si="4"/>
        <v>815.8000000000152</v>
      </c>
      <c r="D23" s="67">
        <f t="shared" si="4"/>
        <v>0</v>
      </c>
      <c r="E23" s="67">
        <f t="shared" si="4"/>
        <v>29.400000000000006</v>
      </c>
      <c r="F23" s="67">
        <f t="shared" si="4"/>
        <v>44</v>
      </c>
      <c r="G23" s="67">
        <f t="shared" si="4"/>
        <v>0</v>
      </c>
      <c r="H23" s="67">
        <f t="shared" si="4"/>
        <v>0</v>
      </c>
      <c r="I23" s="67">
        <f t="shared" si="4"/>
        <v>55.5</v>
      </c>
      <c r="J23" s="67">
        <f t="shared" si="4"/>
        <v>0</v>
      </c>
      <c r="K23" s="67">
        <f t="shared" si="4"/>
        <v>32.89999999999818</v>
      </c>
      <c r="L23" s="67">
        <f t="shared" si="4"/>
        <v>0.4000000000000057</v>
      </c>
      <c r="M23" s="67">
        <f t="shared" si="4"/>
        <v>0</v>
      </c>
      <c r="N23" s="67">
        <f t="shared" si="4"/>
        <v>28.299999999999727</v>
      </c>
      <c r="O23" s="67">
        <f t="shared" si="4"/>
        <v>15.900000000000233</v>
      </c>
      <c r="P23" s="67">
        <f t="shared" si="4"/>
        <v>8.000000000000085</v>
      </c>
      <c r="Q23" s="67">
        <f t="shared" si="4"/>
        <v>294.7999999999997</v>
      </c>
      <c r="R23" s="67">
        <f t="shared" si="4"/>
        <v>115.29999999999995</v>
      </c>
      <c r="S23" s="67">
        <f t="shared" si="4"/>
        <v>95.50000000000023</v>
      </c>
      <c r="T23" s="148">
        <f t="shared" si="4"/>
        <v>-2.220446049250313E-16</v>
      </c>
      <c r="U23" s="67">
        <f t="shared" si="4"/>
        <v>21.10000000000292</v>
      </c>
      <c r="V23" s="67">
        <f t="shared" si="4"/>
        <v>7.800000000000001</v>
      </c>
      <c r="W23" s="67">
        <f t="shared" si="4"/>
        <v>1.5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750.400000000001</v>
      </c>
      <c r="AG23" s="72">
        <f t="shared" si="3"/>
        <v>2778.1000000000236</v>
      </c>
      <c r="AH23" s="18"/>
    </row>
    <row r="24" spans="1:35" s="18" customFormat="1" ht="15" customHeight="1">
      <c r="A24" s="108" t="s">
        <v>7</v>
      </c>
      <c r="B24" s="72">
        <f>39176.7-46.7-65.7-0.3</f>
        <v>39064</v>
      </c>
      <c r="C24" s="109">
        <v>6841.799999999996</v>
      </c>
      <c r="D24" s="72"/>
      <c r="E24" s="72"/>
      <c r="F24" s="72">
        <f>22.9+213.8</f>
        <v>236.70000000000002</v>
      </c>
      <c r="G24" s="72"/>
      <c r="H24" s="72">
        <v>133.4</v>
      </c>
      <c r="I24" s="72"/>
      <c r="J24" s="72">
        <v>11883.2</v>
      </c>
      <c r="K24" s="72">
        <v>396.4</v>
      </c>
      <c r="L24" s="72"/>
      <c r="M24" s="72"/>
      <c r="N24" s="72"/>
      <c r="O24" s="72">
        <f>2437.1+638.6</f>
        <v>3075.7</v>
      </c>
      <c r="P24" s="72">
        <f>161.5+13.6</f>
        <v>175.1</v>
      </c>
      <c r="Q24" s="72">
        <v>0.4</v>
      </c>
      <c r="R24" s="72"/>
      <c r="S24" s="72"/>
      <c r="T24" s="148">
        <f>4839.5+5306.6</f>
        <v>10146.1</v>
      </c>
      <c r="U24" s="72">
        <f>2936.4+6666.4</f>
        <v>9602.8</v>
      </c>
      <c r="V24" s="72">
        <f>120+53.2</f>
        <v>173.2</v>
      </c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35823</v>
      </c>
      <c r="AG24" s="72">
        <f t="shared" si="3"/>
        <v>10082.799999999996</v>
      </c>
      <c r="AI24" s="112"/>
    </row>
    <row r="25" spans="1:34" s="53" customFormat="1" ht="15" customHeight="1">
      <c r="A25" s="51" t="s">
        <v>39</v>
      </c>
      <c r="B25" s="76">
        <v>22002.9</v>
      </c>
      <c r="C25" s="114">
        <v>2076.4000000000015</v>
      </c>
      <c r="D25" s="75"/>
      <c r="E25" s="75"/>
      <c r="F25" s="75">
        <v>213.8</v>
      </c>
      <c r="G25" s="75"/>
      <c r="H25" s="75">
        <v>133.4</v>
      </c>
      <c r="I25" s="75"/>
      <c r="J25" s="76">
        <v>10945.8</v>
      </c>
      <c r="K25" s="75">
        <v>52.3</v>
      </c>
      <c r="L25" s="75"/>
      <c r="M25" s="75"/>
      <c r="N25" s="75"/>
      <c r="O25" s="77">
        <v>638.7</v>
      </c>
      <c r="P25" s="75">
        <v>13.6</v>
      </c>
      <c r="Q25" s="77">
        <v>0.4</v>
      </c>
      <c r="R25" s="77"/>
      <c r="S25" s="76"/>
      <c r="T25" s="149">
        <v>5306.6</v>
      </c>
      <c r="U25" s="76">
        <v>6666.4</v>
      </c>
      <c r="V25" s="76">
        <v>53.2</v>
      </c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24024.2</v>
      </c>
      <c r="AG25" s="115">
        <f t="shared" si="3"/>
        <v>55.10000000000218</v>
      </c>
      <c r="AH25" s="116"/>
    </row>
    <row r="26" spans="1:34" ht="15.7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148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21"/>
    </row>
    <row r="27" spans="1:34" ht="15.7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148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  <c r="AH27" s="18"/>
    </row>
    <row r="28" spans="1:34" ht="15.7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148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  <c r="AH28" s="18"/>
    </row>
    <row r="29" spans="1:34" ht="15.7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148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  <c r="AH29" s="18"/>
    </row>
    <row r="30" spans="1:34" ht="15.7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148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  <c r="AH30" s="18"/>
    </row>
    <row r="31" spans="1:34" ht="15.7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148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  <c r="AH31" s="18"/>
    </row>
    <row r="32" spans="1:34" ht="15.75">
      <c r="A32" s="3" t="s">
        <v>23</v>
      </c>
      <c r="B32" s="72">
        <f>B24</f>
        <v>39064</v>
      </c>
      <c r="C32" s="109">
        <f aca="true" t="shared" si="5" ref="C32:AD32">C24-C26-C27-C28-C29-C30-C31</f>
        <v>6841.799999999996</v>
      </c>
      <c r="D32" s="67">
        <f t="shared" si="5"/>
        <v>0</v>
      </c>
      <c r="E32" s="67">
        <f t="shared" si="5"/>
        <v>0</v>
      </c>
      <c r="F32" s="67">
        <f t="shared" si="5"/>
        <v>236.70000000000002</v>
      </c>
      <c r="G32" s="67">
        <f t="shared" si="5"/>
        <v>0</v>
      </c>
      <c r="H32" s="67">
        <f t="shared" si="5"/>
        <v>133.4</v>
      </c>
      <c r="I32" s="67">
        <f t="shared" si="5"/>
        <v>0</v>
      </c>
      <c r="J32" s="67">
        <f t="shared" si="5"/>
        <v>11883.2</v>
      </c>
      <c r="K32" s="67">
        <f t="shared" si="5"/>
        <v>396.4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3075.7</v>
      </c>
      <c r="P32" s="67">
        <f t="shared" si="5"/>
        <v>175.1</v>
      </c>
      <c r="Q32" s="67">
        <f t="shared" si="5"/>
        <v>0.4</v>
      </c>
      <c r="R32" s="67">
        <f t="shared" si="5"/>
        <v>0</v>
      </c>
      <c r="S32" s="67">
        <f t="shared" si="5"/>
        <v>0</v>
      </c>
      <c r="T32" s="148">
        <f t="shared" si="5"/>
        <v>10146.1</v>
      </c>
      <c r="U32" s="67">
        <f t="shared" si="5"/>
        <v>9602.8</v>
      </c>
      <c r="V32" s="67">
        <f t="shared" si="5"/>
        <v>173.2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35823</v>
      </c>
      <c r="AG32" s="72">
        <f>AG24</f>
        <v>10082.799999999996</v>
      </c>
      <c r="AH32" s="18"/>
    </row>
    <row r="33" spans="1:34" ht="15" customHeight="1">
      <c r="A33" s="4" t="s">
        <v>8</v>
      </c>
      <c r="B33" s="72">
        <v>359.5</v>
      </c>
      <c r="C33" s="109">
        <v>43.39999999999998</v>
      </c>
      <c r="D33" s="67"/>
      <c r="E33" s="67"/>
      <c r="F33" s="67"/>
      <c r="G33" s="67">
        <v>2.1</v>
      </c>
      <c r="H33" s="67"/>
      <c r="I33" s="67"/>
      <c r="J33" s="72">
        <v>84.2</v>
      </c>
      <c r="K33" s="67"/>
      <c r="L33" s="67">
        <v>29.6</v>
      </c>
      <c r="M33" s="67"/>
      <c r="N33" s="67">
        <v>0.7</v>
      </c>
      <c r="O33" s="71"/>
      <c r="P33" s="67">
        <v>0.5</v>
      </c>
      <c r="Q33" s="71">
        <v>5.7</v>
      </c>
      <c r="R33" s="67"/>
      <c r="S33" s="72"/>
      <c r="T33" s="148">
        <v>85.8</v>
      </c>
      <c r="U33" s="72">
        <v>109.2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317.8</v>
      </c>
      <c r="AG33" s="72">
        <f aca="true" t="shared" si="6" ref="AG33:AG38">B33+C33-AF33</f>
        <v>85.09999999999997</v>
      </c>
      <c r="AH33" s="18"/>
    </row>
    <row r="34" spans="1:34" ht="15.75">
      <c r="A34" s="3" t="s">
        <v>5</v>
      </c>
      <c r="B34" s="72">
        <v>258.9</v>
      </c>
      <c r="C34" s="109">
        <v>11</v>
      </c>
      <c r="D34" s="67"/>
      <c r="E34" s="67"/>
      <c r="F34" s="67"/>
      <c r="G34" s="67"/>
      <c r="H34" s="67"/>
      <c r="I34" s="67"/>
      <c r="J34" s="72">
        <v>45</v>
      </c>
      <c r="K34" s="67"/>
      <c r="L34" s="67">
        <v>29.2</v>
      </c>
      <c r="M34" s="67"/>
      <c r="N34" s="67"/>
      <c r="O34" s="67"/>
      <c r="P34" s="67"/>
      <c r="Q34" s="71"/>
      <c r="R34" s="67"/>
      <c r="S34" s="72"/>
      <c r="T34" s="148">
        <v>85.8</v>
      </c>
      <c r="U34" s="72">
        <v>95.3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255.3</v>
      </c>
      <c r="AG34" s="72">
        <f t="shared" si="6"/>
        <v>14.599999999999966</v>
      </c>
      <c r="AH34" s="18"/>
    </row>
    <row r="35" spans="1:34" ht="15.7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148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  <c r="AH35" s="18"/>
    </row>
    <row r="36" spans="1:34" ht="15.75">
      <c r="A36" s="3" t="s">
        <v>2</v>
      </c>
      <c r="B36" s="111">
        <v>66.8</v>
      </c>
      <c r="C36" s="109">
        <v>23</v>
      </c>
      <c r="D36" s="67"/>
      <c r="E36" s="67"/>
      <c r="F36" s="67"/>
      <c r="G36" s="67"/>
      <c r="H36" s="67"/>
      <c r="I36" s="67"/>
      <c r="J36" s="72">
        <v>39.2</v>
      </c>
      <c r="K36" s="67"/>
      <c r="L36" s="67"/>
      <c r="M36" s="67"/>
      <c r="N36" s="72"/>
      <c r="O36" s="71"/>
      <c r="P36" s="67"/>
      <c r="Q36" s="71">
        <v>5.7</v>
      </c>
      <c r="R36" s="67"/>
      <c r="S36" s="72"/>
      <c r="T36" s="148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44.900000000000006</v>
      </c>
      <c r="AG36" s="72">
        <f t="shared" si="6"/>
        <v>44.89999999999999</v>
      </c>
      <c r="AH36" s="18"/>
    </row>
    <row r="37" spans="1:34" ht="15.75">
      <c r="A37" s="3" t="s">
        <v>16</v>
      </c>
      <c r="B37" s="72"/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148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  <c r="AH37" s="18"/>
    </row>
    <row r="38" spans="1:34" ht="15.7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148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  <c r="AH38" s="18"/>
    </row>
    <row r="39" spans="1:34" ht="15.75">
      <c r="A39" s="3" t="s">
        <v>23</v>
      </c>
      <c r="B39" s="72">
        <f aca="true" t="shared" si="7" ref="B39:AD39">B33-B34-B36-B38-B37-B35</f>
        <v>33.800000000000026</v>
      </c>
      <c r="C39" s="109">
        <f t="shared" si="7"/>
        <v>9.399999999999977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2.1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0.40000000000000213</v>
      </c>
      <c r="M39" s="67">
        <f t="shared" si="7"/>
        <v>0</v>
      </c>
      <c r="N39" s="67">
        <f t="shared" si="7"/>
        <v>0.7</v>
      </c>
      <c r="O39" s="67">
        <f t="shared" si="7"/>
        <v>0</v>
      </c>
      <c r="P39" s="67">
        <f t="shared" si="7"/>
        <v>0.5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148">
        <f t="shared" si="7"/>
        <v>0</v>
      </c>
      <c r="U39" s="67">
        <f t="shared" si="7"/>
        <v>13.900000000000006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17.60000000000001</v>
      </c>
      <c r="AG39" s="72">
        <f>AG33-AG34-AG36-AG38-AG35-AG37</f>
        <v>25.60000000000001</v>
      </c>
      <c r="AH39" s="18"/>
    </row>
    <row r="40" spans="1:34" ht="15" customHeight="1">
      <c r="A40" s="4" t="s">
        <v>29</v>
      </c>
      <c r="B40" s="72">
        <v>1260.7</v>
      </c>
      <c r="C40" s="109">
        <v>171.5</v>
      </c>
      <c r="D40" s="67"/>
      <c r="E40" s="67"/>
      <c r="F40" s="67"/>
      <c r="G40" s="67"/>
      <c r="H40" s="67"/>
      <c r="I40" s="67"/>
      <c r="J40" s="72"/>
      <c r="K40" s="67">
        <v>375.9</v>
      </c>
      <c r="L40" s="67"/>
      <c r="M40" s="67"/>
      <c r="N40" s="67"/>
      <c r="O40" s="71"/>
      <c r="P40" s="67"/>
      <c r="Q40" s="71"/>
      <c r="R40" s="71"/>
      <c r="S40" s="72"/>
      <c r="T40" s="148"/>
      <c r="U40" s="72">
        <v>891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1266.9</v>
      </c>
      <c r="AG40" s="72">
        <f aca="true" t="shared" si="8" ref="AG40:AG45">B40+C40-AF40</f>
        <v>165.29999999999995</v>
      </c>
      <c r="AH40" s="18"/>
    </row>
    <row r="41" spans="1:34" ht="15.75">
      <c r="A41" s="3" t="s">
        <v>5</v>
      </c>
      <c r="B41" s="72">
        <v>1049</v>
      </c>
      <c r="C41" s="109">
        <v>57.60000000000002</v>
      </c>
      <c r="D41" s="67"/>
      <c r="E41" s="67"/>
      <c r="F41" s="67"/>
      <c r="G41" s="67"/>
      <c r="H41" s="67"/>
      <c r="I41" s="67"/>
      <c r="J41" s="72"/>
      <c r="K41" s="67">
        <v>314.7</v>
      </c>
      <c r="L41" s="67"/>
      <c r="M41" s="67"/>
      <c r="N41" s="67"/>
      <c r="O41" s="71"/>
      <c r="P41" s="67"/>
      <c r="Q41" s="67"/>
      <c r="R41" s="67"/>
      <c r="S41" s="72"/>
      <c r="T41" s="148"/>
      <c r="U41" s="72">
        <v>746.1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1060.8</v>
      </c>
      <c r="AG41" s="72">
        <f t="shared" si="8"/>
        <v>45.799999999999955</v>
      </c>
      <c r="AH41" s="21"/>
    </row>
    <row r="42" spans="1:34" ht="15.75">
      <c r="A42" s="3" t="s">
        <v>3</v>
      </c>
      <c r="B42" s="72">
        <v>0.8</v>
      </c>
      <c r="C42" s="109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148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  <c r="AH42" s="18"/>
    </row>
    <row r="43" spans="1:34" ht="15.75">
      <c r="A43" s="3" t="s">
        <v>1</v>
      </c>
      <c r="B43" s="72">
        <v>9.6</v>
      </c>
      <c r="C43" s="109">
        <v>4.3999999999999995</v>
      </c>
      <c r="D43" s="67"/>
      <c r="E43" s="67"/>
      <c r="F43" s="67"/>
      <c r="G43" s="67"/>
      <c r="H43" s="67"/>
      <c r="I43" s="67"/>
      <c r="J43" s="72"/>
      <c r="K43" s="67">
        <v>6.1</v>
      </c>
      <c r="L43" s="67"/>
      <c r="M43" s="67"/>
      <c r="N43" s="67"/>
      <c r="O43" s="71"/>
      <c r="P43" s="67"/>
      <c r="Q43" s="67"/>
      <c r="R43" s="67"/>
      <c r="S43" s="72"/>
      <c r="T43" s="148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6.1</v>
      </c>
      <c r="AG43" s="72">
        <f t="shared" si="8"/>
        <v>7.9</v>
      </c>
      <c r="AH43" s="18"/>
    </row>
    <row r="44" spans="1:34" ht="15.75">
      <c r="A44" s="3" t="s">
        <v>2</v>
      </c>
      <c r="B44" s="72">
        <v>171.6</v>
      </c>
      <c r="C44" s="109">
        <v>101.80000000000001</v>
      </c>
      <c r="D44" s="67"/>
      <c r="E44" s="67"/>
      <c r="F44" s="67"/>
      <c r="G44" s="67"/>
      <c r="H44" s="67"/>
      <c r="I44" s="67"/>
      <c r="J44" s="72"/>
      <c r="K44" s="67">
        <v>54.5</v>
      </c>
      <c r="L44" s="67"/>
      <c r="M44" s="67"/>
      <c r="N44" s="67"/>
      <c r="O44" s="71"/>
      <c r="P44" s="67"/>
      <c r="Q44" s="67"/>
      <c r="R44" s="67"/>
      <c r="S44" s="72"/>
      <c r="T44" s="148"/>
      <c r="U44" s="72">
        <v>131.2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185.7</v>
      </c>
      <c r="AG44" s="72">
        <f t="shared" si="8"/>
        <v>87.69999999999999</v>
      </c>
      <c r="AH44" s="18"/>
    </row>
    <row r="45" spans="1:34" ht="15.7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148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  <c r="AH45" s="18"/>
    </row>
    <row r="46" spans="1:34" ht="15.75">
      <c r="A46" s="3" t="s">
        <v>23</v>
      </c>
      <c r="B46" s="72">
        <f aca="true" t="shared" si="9" ref="B46:AD46">B40-B41-B42-B43-B44-B45</f>
        <v>29.700000000000045</v>
      </c>
      <c r="C46" s="109">
        <f t="shared" si="9"/>
        <v>7.69999999999996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0.5999999999999872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148">
        <f t="shared" si="9"/>
        <v>0</v>
      </c>
      <c r="U46" s="67">
        <f t="shared" si="9"/>
        <v>13.699999999999989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14.299999999999976</v>
      </c>
      <c r="AG46" s="72">
        <f>AG40-AG41-AG42-AG43-AG44-AG45</f>
        <v>23.10000000000001</v>
      </c>
      <c r="AH46" s="18"/>
    </row>
    <row r="47" spans="1:34" ht="17.25" customHeight="1">
      <c r="A47" s="4" t="s">
        <v>43</v>
      </c>
      <c r="B47" s="70">
        <f>1320.8-7.3+0.1</f>
        <v>1313.6</v>
      </c>
      <c r="C47" s="109">
        <v>818.8000000000001</v>
      </c>
      <c r="D47" s="67"/>
      <c r="E47" s="79"/>
      <c r="F47" s="79"/>
      <c r="G47" s="79"/>
      <c r="H47" s="79">
        <v>89.8</v>
      </c>
      <c r="I47" s="79"/>
      <c r="J47" s="80"/>
      <c r="K47" s="79">
        <v>139.8</v>
      </c>
      <c r="L47" s="79">
        <v>98.3</v>
      </c>
      <c r="M47" s="79"/>
      <c r="N47" s="79">
        <v>5.4</v>
      </c>
      <c r="O47" s="81">
        <v>242.1</v>
      </c>
      <c r="P47" s="79">
        <v>58</v>
      </c>
      <c r="Q47" s="79">
        <v>93.2</v>
      </c>
      <c r="R47" s="79">
        <v>85.3</v>
      </c>
      <c r="S47" s="80">
        <v>255.7</v>
      </c>
      <c r="T47" s="150">
        <v>143.8</v>
      </c>
      <c r="U47" s="79">
        <v>0.2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1211.6</v>
      </c>
      <c r="AG47" s="72">
        <f>B47+C47-AF47</f>
        <v>920.8000000000002</v>
      </c>
      <c r="AH47" s="18"/>
    </row>
    <row r="48" spans="1:34" ht="15.75">
      <c r="A48" s="3" t="s">
        <v>5</v>
      </c>
      <c r="B48" s="72">
        <v>36.4</v>
      </c>
      <c r="C48" s="109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15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36.4</v>
      </c>
      <c r="AH48" s="18"/>
    </row>
    <row r="49" spans="1:34" ht="15.75">
      <c r="A49" s="3" t="s">
        <v>16</v>
      </c>
      <c r="B49" s="72">
        <f>1097.2-7.3</f>
        <v>1089.9</v>
      </c>
      <c r="C49" s="109">
        <v>697.4000000000001</v>
      </c>
      <c r="D49" s="67"/>
      <c r="E49" s="67"/>
      <c r="F49" s="67"/>
      <c r="G49" s="67"/>
      <c r="H49" s="67">
        <v>89.8</v>
      </c>
      <c r="I49" s="67"/>
      <c r="J49" s="72"/>
      <c r="K49" s="67">
        <v>139.7</v>
      </c>
      <c r="L49" s="67">
        <v>98.3</v>
      </c>
      <c r="M49" s="67"/>
      <c r="N49" s="67">
        <v>5.4</v>
      </c>
      <c r="O49" s="71">
        <v>242.1</v>
      </c>
      <c r="P49" s="67">
        <v>58</v>
      </c>
      <c r="Q49" s="67"/>
      <c r="R49" s="67">
        <v>85.3</v>
      </c>
      <c r="S49" s="72">
        <v>255.7</v>
      </c>
      <c r="T49" s="148">
        <v>143.6</v>
      </c>
      <c r="U49" s="67">
        <v>0.2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1118.1</v>
      </c>
      <c r="AG49" s="72">
        <f>B49+C49-AF49</f>
        <v>669.2000000000003</v>
      </c>
      <c r="AH49" s="18"/>
    </row>
    <row r="50" spans="1:34" ht="30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148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  <c r="AH50" s="18"/>
    </row>
    <row r="51" spans="1:34" ht="15.75">
      <c r="A51" s="48" t="s">
        <v>23</v>
      </c>
      <c r="B51" s="72">
        <f aca="true" t="shared" si="10" ref="B51:AD51">B47-B48-B49</f>
        <v>187.29999999999973</v>
      </c>
      <c r="C51" s="109">
        <f t="shared" si="10"/>
        <v>121.39999999999998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0.10000000000002274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93.2</v>
      </c>
      <c r="R51" s="67">
        <f t="shared" si="10"/>
        <v>0</v>
      </c>
      <c r="S51" s="67">
        <f t="shared" si="10"/>
        <v>0</v>
      </c>
      <c r="T51" s="148">
        <f t="shared" si="10"/>
        <v>0.20000000000001705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93.50000000000004</v>
      </c>
      <c r="AG51" s="72">
        <f>AG47-AG49-AG48</f>
        <v>215.1999999999999</v>
      </c>
      <c r="AH51" s="18"/>
    </row>
    <row r="52" spans="1:34" ht="15" customHeight="1">
      <c r="A52" s="4" t="s">
        <v>0</v>
      </c>
      <c r="B52" s="72">
        <f>4252.5-56.7</f>
        <v>4195.8</v>
      </c>
      <c r="C52" s="109">
        <v>3171.3499999999995</v>
      </c>
      <c r="D52" s="67"/>
      <c r="E52" s="67">
        <v>1248.7</v>
      </c>
      <c r="F52" s="67">
        <v>97.9</v>
      </c>
      <c r="G52" s="67"/>
      <c r="H52" s="67">
        <v>0.7</v>
      </c>
      <c r="I52" s="67"/>
      <c r="J52" s="72"/>
      <c r="K52" s="67">
        <v>344.5</v>
      </c>
      <c r="L52" s="67">
        <v>13.1</v>
      </c>
      <c r="M52" s="67"/>
      <c r="N52" s="67">
        <v>160.3</v>
      </c>
      <c r="O52" s="71"/>
      <c r="P52" s="67">
        <v>129.6</v>
      </c>
      <c r="Q52" s="67"/>
      <c r="R52" s="67">
        <v>35.4</v>
      </c>
      <c r="S52" s="72">
        <v>0</v>
      </c>
      <c r="T52" s="148"/>
      <c r="U52" s="72">
        <v>435.1</v>
      </c>
      <c r="V52" s="72">
        <v>121.2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2586.5</v>
      </c>
      <c r="AG52" s="72">
        <f aca="true" t="shared" si="11" ref="AG52:AG59">B52+C52-AF52</f>
        <v>4780.65</v>
      </c>
      <c r="AH52" s="18"/>
    </row>
    <row r="53" spans="1:34" ht="15" customHeight="1">
      <c r="A53" s="3" t="s">
        <v>2</v>
      </c>
      <c r="B53" s="72">
        <v>1151.7</v>
      </c>
      <c r="C53" s="109">
        <v>1174.8000000000002</v>
      </c>
      <c r="D53" s="67"/>
      <c r="E53" s="67">
        <v>1026.4</v>
      </c>
      <c r="F53" s="67"/>
      <c r="G53" s="67"/>
      <c r="H53" s="67">
        <v>0.7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148"/>
      <c r="U53" s="72">
        <v>86.4</v>
      </c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1113.5000000000002</v>
      </c>
      <c r="AG53" s="72">
        <f t="shared" si="11"/>
        <v>1212.9999999999998</v>
      </c>
      <c r="AH53" s="18"/>
    </row>
    <row r="54" spans="1:34" ht="15" customHeight="1">
      <c r="A54" s="4" t="s">
        <v>9</v>
      </c>
      <c r="B54" s="111">
        <v>2427.4</v>
      </c>
      <c r="C54" s="109">
        <v>907.7000000000003</v>
      </c>
      <c r="D54" s="67"/>
      <c r="E54" s="67">
        <v>14.1</v>
      </c>
      <c r="F54" s="67">
        <v>123.8</v>
      </c>
      <c r="G54" s="67">
        <v>80.3</v>
      </c>
      <c r="H54" s="67">
        <v>68.1</v>
      </c>
      <c r="I54" s="67"/>
      <c r="J54" s="72">
        <v>398.3</v>
      </c>
      <c r="K54" s="67">
        <v>3.2</v>
      </c>
      <c r="L54" s="67">
        <v>1</v>
      </c>
      <c r="M54" s="67"/>
      <c r="N54" s="67">
        <v>245</v>
      </c>
      <c r="O54" s="71">
        <v>165.3</v>
      </c>
      <c r="P54" s="67">
        <v>2.5</v>
      </c>
      <c r="Q54" s="71">
        <v>39.5</v>
      </c>
      <c r="R54" s="67">
        <v>65.7</v>
      </c>
      <c r="S54" s="72">
        <v>27.9</v>
      </c>
      <c r="T54" s="148"/>
      <c r="U54" s="72">
        <v>573.9</v>
      </c>
      <c r="V54" s="72">
        <v>1.9</v>
      </c>
      <c r="W54" s="72">
        <v>0.6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1811.1</v>
      </c>
      <c r="AG54" s="72">
        <f t="shared" si="11"/>
        <v>1524.0000000000005</v>
      </c>
      <c r="AH54" s="21"/>
    </row>
    <row r="55" spans="1:34" ht="15.75">
      <c r="A55" s="3" t="s">
        <v>5</v>
      </c>
      <c r="B55" s="72">
        <v>1058</v>
      </c>
      <c r="C55" s="109">
        <v>134.29999999999995</v>
      </c>
      <c r="D55" s="67"/>
      <c r="E55" s="67"/>
      <c r="F55" s="67"/>
      <c r="G55" s="67"/>
      <c r="H55" s="67">
        <v>63</v>
      </c>
      <c r="I55" s="67"/>
      <c r="J55" s="72">
        <v>395</v>
      </c>
      <c r="K55" s="67"/>
      <c r="L55" s="67"/>
      <c r="M55" s="67"/>
      <c r="N55" s="67"/>
      <c r="O55" s="71"/>
      <c r="P55" s="67"/>
      <c r="Q55" s="71"/>
      <c r="R55" s="67"/>
      <c r="S55" s="72"/>
      <c r="T55" s="148"/>
      <c r="U55" s="72">
        <v>556.7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1014.7</v>
      </c>
      <c r="AG55" s="72">
        <f t="shared" si="11"/>
        <v>177.5999999999999</v>
      </c>
      <c r="AH55" s="21"/>
    </row>
    <row r="56" spans="1:34" ht="15" customHeight="1" hidden="1">
      <c r="A56" s="3" t="s">
        <v>1</v>
      </c>
      <c r="B56" s="72"/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148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21"/>
    </row>
    <row r="57" spans="1:34" ht="15.75">
      <c r="A57" s="3" t="s">
        <v>2</v>
      </c>
      <c r="B57" s="70">
        <f>317.5+0.8</f>
        <v>318.3</v>
      </c>
      <c r="C57" s="109">
        <v>231.1</v>
      </c>
      <c r="D57" s="67"/>
      <c r="E57" s="67">
        <v>12.9</v>
      </c>
      <c r="F57" s="67">
        <v>1.3</v>
      </c>
      <c r="G57" s="67"/>
      <c r="H57" s="67"/>
      <c r="I57" s="67"/>
      <c r="J57" s="72"/>
      <c r="K57" s="67">
        <v>0.5</v>
      </c>
      <c r="L57" s="67"/>
      <c r="M57" s="67"/>
      <c r="N57" s="67">
        <v>169.4</v>
      </c>
      <c r="O57" s="71">
        <v>1.1</v>
      </c>
      <c r="P57" s="67"/>
      <c r="Q57" s="71"/>
      <c r="R57" s="67"/>
      <c r="S57" s="72"/>
      <c r="T57" s="148"/>
      <c r="U57" s="72">
        <v>0.1</v>
      </c>
      <c r="V57" s="72">
        <v>0.4</v>
      </c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185.7</v>
      </c>
      <c r="AG57" s="72">
        <f t="shared" si="11"/>
        <v>363.7</v>
      </c>
      <c r="AH57" s="18"/>
    </row>
    <row r="58" spans="1:34" ht="15.7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>
        <v>5.1</v>
      </c>
      <c r="I58" s="67"/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148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0</v>
      </c>
      <c r="AH58" s="18"/>
    </row>
    <row r="59" spans="1:34" ht="15.7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148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  <c r="AH59" s="18"/>
    </row>
    <row r="60" spans="1:34" ht="15.75">
      <c r="A60" s="3" t="s">
        <v>23</v>
      </c>
      <c r="B60" s="72">
        <f aca="true" t="shared" si="12" ref="B60:AD60">B54-B55-B57-B59-B56-B58</f>
        <v>1046.0000000000002</v>
      </c>
      <c r="C60" s="109">
        <f t="shared" si="12"/>
        <v>542.3000000000003</v>
      </c>
      <c r="D60" s="67">
        <f t="shared" si="12"/>
        <v>0</v>
      </c>
      <c r="E60" s="67">
        <f>E54-E55-E57-E59-E56-E58</f>
        <v>1.1999999999999993</v>
      </c>
      <c r="F60" s="67">
        <f t="shared" si="12"/>
        <v>122.5</v>
      </c>
      <c r="G60" s="67">
        <f t="shared" si="12"/>
        <v>80.3</v>
      </c>
      <c r="H60" s="67">
        <f t="shared" si="12"/>
        <v>0</v>
      </c>
      <c r="I60" s="67">
        <f t="shared" si="12"/>
        <v>0</v>
      </c>
      <c r="J60" s="67">
        <f t="shared" si="12"/>
        <v>3.3000000000000114</v>
      </c>
      <c r="K60" s="67">
        <f t="shared" si="12"/>
        <v>2.7</v>
      </c>
      <c r="L60" s="67">
        <f t="shared" si="12"/>
        <v>1</v>
      </c>
      <c r="M60" s="67">
        <f t="shared" si="12"/>
        <v>0</v>
      </c>
      <c r="N60" s="67">
        <f t="shared" si="12"/>
        <v>75.6</v>
      </c>
      <c r="O60" s="67">
        <f t="shared" si="12"/>
        <v>164.20000000000002</v>
      </c>
      <c r="P60" s="67">
        <f t="shared" si="12"/>
        <v>2.5</v>
      </c>
      <c r="Q60" s="67">
        <f t="shared" si="12"/>
        <v>39.5</v>
      </c>
      <c r="R60" s="67">
        <f t="shared" si="12"/>
        <v>65.7</v>
      </c>
      <c r="S60" s="67">
        <f t="shared" si="12"/>
        <v>27.9</v>
      </c>
      <c r="T60" s="148">
        <f t="shared" si="12"/>
        <v>0</v>
      </c>
      <c r="U60" s="67">
        <f t="shared" si="12"/>
        <v>17.09999999999993</v>
      </c>
      <c r="V60" s="67">
        <f t="shared" si="12"/>
        <v>1.5</v>
      </c>
      <c r="W60" s="67">
        <f t="shared" si="12"/>
        <v>0.6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605.5999999999998</v>
      </c>
      <c r="AG60" s="72">
        <f>AG54-AG55-AG57-AG59-AG56-AG58</f>
        <v>982.7000000000005</v>
      </c>
      <c r="AH60" s="18"/>
    </row>
    <row r="61" spans="1:34" ht="15" customHeight="1">
      <c r="A61" s="4" t="s">
        <v>10</v>
      </c>
      <c r="B61" s="72">
        <v>426.5</v>
      </c>
      <c r="C61" s="109">
        <v>235.60000000000002</v>
      </c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148"/>
      <c r="U61" s="72">
        <v>0.5</v>
      </c>
      <c r="V61" s="72"/>
      <c r="W61" s="72">
        <v>181.8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182.3</v>
      </c>
      <c r="AG61" s="72">
        <f aca="true" t="shared" si="14" ref="AG61:AG67">B61+C61-AF61</f>
        <v>479.8</v>
      </c>
      <c r="AH61" s="18"/>
    </row>
    <row r="62" spans="1:33" s="18" customFormat="1" ht="15" customHeight="1">
      <c r="A62" s="108" t="s">
        <v>11</v>
      </c>
      <c r="B62" s="72">
        <v>3053.8</v>
      </c>
      <c r="C62" s="109">
        <v>605.5</v>
      </c>
      <c r="D62" s="72"/>
      <c r="E62" s="72">
        <v>1.3</v>
      </c>
      <c r="F62" s="72"/>
      <c r="G62" s="72">
        <v>214.8</v>
      </c>
      <c r="H62" s="72"/>
      <c r="I62" s="72">
        <v>344.6</v>
      </c>
      <c r="J62" s="72">
        <v>657.7</v>
      </c>
      <c r="K62" s="72">
        <v>47.5</v>
      </c>
      <c r="L62" s="72">
        <v>111.7</v>
      </c>
      <c r="M62" s="72">
        <v>17</v>
      </c>
      <c r="N62" s="72">
        <v>80.2</v>
      </c>
      <c r="O62" s="72"/>
      <c r="P62" s="72">
        <v>154.3</v>
      </c>
      <c r="Q62" s="72"/>
      <c r="R62" s="72">
        <v>72.4</v>
      </c>
      <c r="S62" s="72"/>
      <c r="T62" s="148">
        <v>1021.3</v>
      </c>
      <c r="U62" s="72">
        <v>20</v>
      </c>
      <c r="V62" s="72">
        <v>1.6</v>
      </c>
      <c r="W62" s="72">
        <v>151.9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2896.3</v>
      </c>
      <c r="AG62" s="72">
        <f t="shared" si="14"/>
        <v>763</v>
      </c>
    </row>
    <row r="63" spans="1:34" ht="15.75">
      <c r="A63" s="3" t="s">
        <v>5</v>
      </c>
      <c r="B63" s="72">
        <v>1563</v>
      </c>
      <c r="C63" s="109">
        <v>43.59999999999991</v>
      </c>
      <c r="D63" s="67"/>
      <c r="E63" s="67"/>
      <c r="F63" s="67"/>
      <c r="G63" s="67"/>
      <c r="H63" s="67"/>
      <c r="I63" s="67"/>
      <c r="J63" s="72">
        <v>649.6</v>
      </c>
      <c r="K63" s="67"/>
      <c r="L63" s="67"/>
      <c r="M63" s="67"/>
      <c r="N63" s="67"/>
      <c r="O63" s="71"/>
      <c r="P63" s="67"/>
      <c r="Q63" s="71"/>
      <c r="R63" s="67"/>
      <c r="S63" s="72"/>
      <c r="T63" s="148">
        <v>792.4</v>
      </c>
      <c r="U63" s="72"/>
      <c r="V63" s="72">
        <v>1.6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1443.6</v>
      </c>
      <c r="AG63" s="72">
        <f t="shared" si="14"/>
        <v>163</v>
      </c>
      <c r="AH63" s="133"/>
    </row>
    <row r="64" spans="1:34" ht="15.7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148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21"/>
    </row>
    <row r="65" spans="1:34" ht="15.75">
      <c r="A65" s="3" t="s">
        <v>1</v>
      </c>
      <c r="B65" s="72">
        <v>104.1</v>
      </c>
      <c r="C65" s="109">
        <v>37.1</v>
      </c>
      <c r="D65" s="67"/>
      <c r="E65" s="67"/>
      <c r="F65" s="67"/>
      <c r="G65" s="67">
        <v>43.2</v>
      </c>
      <c r="H65" s="67"/>
      <c r="I65" s="67"/>
      <c r="J65" s="72"/>
      <c r="K65" s="67"/>
      <c r="L65" s="67">
        <v>2.7</v>
      </c>
      <c r="M65" s="67"/>
      <c r="N65" s="67">
        <v>18.4</v>
      </c>
      <c r="O65" s="71"/>
      <c r="P65" s="67">
        <v>3.8</v>
      </c>
      <c r="Q65" s="71"/>
      <c r="R65" s="67">
        <v>23.8</v>
      </c>
      <c r="S65" s="72"/>
      <c r="T65" s="148">
        <v>5.3</v>
      </c>
      <c r="U65" s="72">
        <v>12.2</v>
      </c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109.4</v>
      </c>
      <c r="AG65" s="72">
        <f t="shared" si="14"/>
        <v>31.799999999999983</v>
      </c>
      <c r="AH65" s="21"/>
    </row>
    <row r="66" spans="1:34" ht="15.75">
      <c r="A66" s="3" t="s">
        <v>2</v>
      </c>
      <c r="B66" s="72">
        <v>166.4</v>
      </c>
      <c r="C66" s="109">
        <v>127.69999999999999</v>
      </c>
      <c r="D66" s="67"/>
      <c r="E66" s="67">
        <v>1.3</v>
      </c>
      <c r="F66" s="67"/>
      <c r="G66" s="67">
        <v>64.9</v>
      </c>
      <c r="H66" s="67"/>
      <c r="I66" s="67">
        <v>33.6</v>
      </c>
      <c r="J66" s="72">
        <v>8.1</v>
      </c>
      <c r="K66" s="67"/>
      <c r="L66" s="67">
        <v>0.1</v>
      </c>
      <c r="M66" s="67"/>
      <c r="N66" s="67"/>
      <c r="O66" s="71"/>
      <c r="P66" s="67">
        <v>94.7</v>
      </c>
      <c r="Q66" s="67"/>
      <c r="R66" s="67">
        <v>0.3</v>
      </c>
      <c r="S66" s="72"/>
      <c r="T66" s="148">
        <v>9.8</v>
      </c>
      <c r="U66" s="72">
        <v>7.8</v>
      </c>
      <c r="V66" s="72"/>
      <c r="W66" s="72">
        <v>0.9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221.50000000000003</v>
      </c>
      <c r="AG66" s="72">
        <f t="shared" si="14"/>
        <v>72.6</v>
      </c>
      <c r="AH66" s="18"/>
    </row>
    <row r="67" spans="1:34" ht="15.75">
      <c r="A67" s="3" t="s">
        <v>16</v>
      </c>
      <c r="B67" s="72">
        <v>110</v>
      </c>
      <c r="C67" s="109">
        <v>0</v>
      </c>
      <c r="D67" s="67"/>
      <c r="E67" s="67"/>
      <c r="F67" s="67"/>
      <c r="G67" s="67"/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148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  <c r="AH67" s="18"/>
    </row>
    <row r="68" spans="1:34" ht="15.75">
      <c r="A68" s="3" t="s">
        <v>23</v>
      </c>
      <c r="B68" s="72">
        <f aca="true" t="shared" si="15" ref="B68:AD68">B62-B63-B66-B67-B65-B64</f>
        <v>1110.3000000000002</v>
      </c>
      <c r="C68" s="109">
        <f t="shared" si="15"/>
        <v>397.1000000000001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106.7</v>
      </c>
      <c r="H68" s="67">
        <f t="shared" si="15"/>
        <v>0</v>
      </c>
      <c r="I68" s="67">
        <f t="shared" si="15"/>
        <v>201</v>
      </c>
      <c r="J68" s="67">
        <f t="shared" si="15"/>
        <v>2.3092638912203256E-14</v>
      </c>
      <c r="K68" s="67">
        <f t="shared" si="15"/>
        <v>47.5</v>
      </c>
      <c r="L68" s="67">
        <f t="shared" si="15"/>
        <v>108.9</v>
      </c>
      <c r="M68" s="67">
        <f t="shared" si="15"/>
        <v>17</v>
      </c>
      <c r="N68" s="67">
        <f t="shared" si="15"/>
        <v>61.800000000000004</v>
      </c>
      <c r="O68" s="67">
        <f t="shared" si="15"/>
        <v>0</v>
      </c>
      <c r="P68" s="67">
        <f t="shared" si="15"/>
        <v>55.80000000000001</v>
      </c>
      <c r="Q68" s="67">
        <f t="shared" si="15"/>
        <v>0</v>
      </c>
      <c r="R68" s="67">
        <f t="shared" si="15"/>
        <v>48.30000000000001</v>
      </c>
      <c r="S68" s="67">
        <f t="shared" si="15"/>
        <v>0</v>
      </c>
      <c r="T68" s="148">
        <f t="shared" si="15"/>
        <v>213.79999999999995</v>
      </c>
      <c r="U68" s="67">
        <f t="shared" si="15"/>
        <v>0</v>
      </c>
      <c r="V68" s="67">
        <f t="shared" si="15"/>
        <v>0</v>
      </c>
      <c r="W68" s="67">
        <f t="shared" si="15"/>
        <v>151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1011.8</v>
      </c>
      <c r="AG68" s="72">
        <f>AG62-AG63-AG66-AG67-AG65-AG64</f>
        <v>495.6</v>
      </c>
      <c r="AH68" s="18"/>
    </row>
    <row r="69" spans="1:34" ht="31.5">
      <c r="A69" s="4" t="s">
        <v>45</v>
      </c>
      <c r="B69" s="72">
        <v>4420.3</v>
      </c>
      <c r="C69" s="109">
        <v>0</v>
      </c>
      <c r="D69" s="67"/>
      <c r="E69" s="67"/>
      <c r="F69" s="67"/>
      <c r="G69" s="67"/>
      <c r="H69" s="67">
        <v>2996.5</v>
      </c>
      <c r="I69" s="67"/>
      <c r="J69" s="72"/>
      <c r="K69" s="67"/>
      <c r="L69" s="67"/>
      <c r="M69" s="67"/>
      <c r="N69" s="67"/>
      <c r="O69" s="67"/>
      <c r="P69" s="67"/>
      <c r="Q69" s="67">
        <v>533.1</v>
      </c>
      <c r="R69" s="67"/>
      <c r="S69" s="72"/>
      <c r="T69" s="148"/>
      <c r="U69" s="67">
        <v>738.7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4268.3</v>
      </c>
      <c r="AG69" s="130">
        <f aca="true" t="shared" si="16" ref="AG69:AG92">B69+C69-AF69</f>
        <v>152</v>
      </c>
      <c r="AH69" s="18"/>
    </row>
    <row r="70" spans="1:34" ht="15.7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148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  <c r="AH70" s="18"/>
    </row>
    <row r="71" spans="1:50" ht="15.75">
      <c r="A71" s="4" t="s">
        <v>57</v>
      </c>
      <c r="B71" s="109">
        <f>1800+56.7</f>
        <v>1856.7</v>
      </c>
      <c r="C71" s="122">
        <v>112.25</v>
      </c>
      <c r="D71" s="79"/>
      <c r="E71" s="79">
        <v>575.3</v>
      </c>
      <c r="F71" s="79"/>
      <c r="G71" s="79"/>
      <c r="H71" s="79"/>
      <c r="I71" s="79"/>
      <c r="J71" s="80"/>
      <c r="K71" s="79">
        <v>777.6</v>
      </c>
      <c r="L71" s="79"/>
      <c r="M71" s="79"/>
      <c r="N71" s="79"/>
      <c r="O71" s="79"/>
      <c r="P71" s="79"/>
      <c r="Q71" s="81"/>
      <c r="R71" s="79"/>
      <c r="S71" s="80"/>
      <c r="T71" s="150">
        <v>41.5</v>
      </c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1394.4</v>
      </c>
      <c r="AG71" s="130">
        <f t="shared" si="16"/>
        <v>574.55</v>
      </c>
      <c r="AH71" s="13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23">
        <f>1401+35.1+203.6-30</f>
        <v>1609.6999999999998</v>
      </c>
      <c r="C72" s="109">
        <v>772.8999999999999</v>
      </c>
      <c r="D72" s="67"/>
      <c r="E72" s="67">
        <v>348.4</v>
      </c>
      <c r="F72" s="67">
        <v>25.9</v>
      </c>
      <c r="G72" s="67">
        <f>38.8+17.8</f>
        <v>56.599999999999994</v>
      </c>
      <c r="H72" s="67"/>
      <c r="I72" s="67">
        <v>21.3</v>
      </c>
      <c r="J72" s="72">
        <v>31.5</v>
      </c>
      <c r="K72" s="67"/>
      <c r="L72" s="67">
        <f>0.4+139.8</f>
        <v>140.20000000000002</v>
      </c>
      <c r="M72" s="67">
        <v>0.1</v>
      </c>
      <c r="N72" s="67">
        <v>0.3</v>
      </c>
      <c r="O72" s="67">
        <f>9.3+2.9</f>
        <v>12.200000000000001</v>
      </c>
      <c r="P72" s="67">
        <v>49.9</v>
      </c>
      <c r="Q72" s="71"/>
      <c r="R72" s="67"/>
      <c r="S72" s="72">
        <v>9.6</v>
      </c>
      <c r="T72" s="148">
        <v>275.6</v>
      </c>
      <c r="U72" s="72">
        <f>45.4+7+10+0.3</f>
        <v>62.699999999999996</v>
      </c>
      <c r="V72" s="72">
        <v>43.7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1078</v>
      </c>
      <c r="AG72" s="130">
        <f t="shared" si="16"/>
        <v>1304.5999999999995</v>
      </c>
      <c r="AH72" s="18"/>
    </row>
    <row r="73" spans="1:34" ht="15" customHeight="1">
      <c r="A73" s="3" t="s">
        <v>5</v>
      </c>
      <c r="B73" s="109">
        <v>45.4</v>
      </c>
      <c r="C73" s="109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148"/>
      <c r="U73" s="72">
        <v>45.4</v>
      </c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  <c r="AH73" s="18"/>
    </row>
    <row r="74" spans="1:34" ht="15" customHeight="1">
      <c r="A74" s="3" t="s">
        <v>2</v>
      </c>
      <c r="B74" s="109">
        <f>204.8+5.1+74.7+175.4</f>
        <v>460</v>
      </c>
      <c r="C74" s="109">
        <v>92.90000000000003</v>
      </c>
      <c r="D74" s="67"/>
      <c r="E74" s="67">
        <v>59.2</v>
      </c>
      <c r="F74" s="67"/>
      <c r="G74" s="67">
        <v>38.8</v>
      </c>
      <c r="H74" s="67"/>
      <c r="I74" s="67"/>
      <c r="J74" s="72"/>
      <c r="K74" s="67"/>
      <c r="L74" s="67">
        <v>107.4</v>
      </c>
      <c r="M74" s="67"/>
      <c r="N74" s="67"/>
      <c r="O74" s="67"/>
      <c r="P74" s="67"/>
      <c r="Q74" s="71"/>
      <c r="R74" s="67"/>
      <c r="S74" s="72"/>
      <c r="T74" s="148">
        <v>76</v>
      </c>
      <c r="U74" s="72"/>
      <c r="V74" s="72">
        <v>37.6</v>
      </c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319</v>
      </c>
      <c r="AG74" s="130">
        <f t="shared" si="16"/>
        <v>233.9000000000001</v>
      </c>
      <c r="AH74" s="18"/>
    </row>
    <row r="75" spans="1:34" ht="15" customHeight="1">
      <c r="A75" s="3" t="s">
        <v>16</v>
      </c>
      <c r="B75" s="109">
        <v>15.6</v>
      </c>
      <c r="C75" s="109">
        <v>7.1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148"/>
      <c r="U75" s="72">
        <v>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</v>
      </c>
      <c r="AG75" s="130">
        <f t="shared" si="16"/>
        <v>15.7</v>
      </c>
      <c r="AH75" s="18"/>
    </row>
    <row r="76" spans="1:35" s="11" customFormat="1" ht="15.75">
      <c r="A76" s="12" t="s">
        <v>48</v>
      </c>
      <c r="B76" s="109">
        <v>586.2</v>
      </c>
      <c r="C76" s="109">
        <v>78.70000000000002</v>
      </c>
      <c r="D76" s="67"/>
      <c r="E76" s="79"/>
      <c r="F76" s="79"/>
      <c r="G76" s="79">
        <v>4.1</v>
      </c>
      <c r="H76" s="79"/>
      <c r="I76" s="79"/>
      <c r="J76" s="80">
        <v>48.9</v>
      </c>
      <c r="K76" s="79"/>
      <c r="L76" s="79"/>
      <c r="M76" s="79"/>
      <c r="N76" s="79"/>
      <c r="O76" s="79"/>
      <c r="P76" s="79"/>
      <c r="Q76" s="81"/>
      <c r="R76" s="79"/>
      <c r="S76" s="80"/>
      <c r="T76" s="150"/>
      <c r="U76" s="79">
        <v>117.9</v>
      </c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170.9</v>
      </c>
      <c r="AG76" s="130">
        <f t="shared" si="16"/>
        <v>494.0000000000001</v>
      </c>
      <c r="AH76" s="135"/>
      <c r="AI76" s="128"/>
    </row>
    <row r="77" spans="1:34" s="11" customFormat="1" ht="15.75">
      <c r="A77" s="3" t="s">
        <v>5</v>
      </c>
      <c r="B77" s="109">
        <f>95.5+21</f>
        <v>116.5</v>
      </c>
      <c r="C77" s="109">
        <v>22.89999999999999</v>
      </c>
      <c r="D77" s="67"/>
      <c r="E77" s="79"/>
      <c r="F77" s="79"/>
      <c r="G77" s="79"/>
      <c r="H77" s="79"/>
      <c r="I77" s="79"/>
      <c r="J77" s="80">
        <v>34</v>
      </c>
      <c r="K77" s="79"/>
      <c r="L77" s="79"/>
      <c r="M77" s="79"/>
      <c r="N77" s="79"/>
      <c r="O77" s="79"/>
      <c r="P77" s="79"/>
      <c r="Q77" s="81"/>
      <c r="R77" s="79"/>
      <c r="S77" s="80"/>
      <c r="T77" s="150"/>
      <c r="U77" s="79">
        <v>76.6</v>
      </c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110.6</v>
      </c>
      <c r="AG77" s="130">
        <f t="shared" si="16"/>
        <v>28.799999999999983</v>
      </c>
      <c r="AH77" s="135"/>
    </row>
    <row r="78" spans="1:34" s="11" customFormat="1" ht="15.7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15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  <c r="AH78" s="135"/>
    </row>
    <row r="79" spans="1:34" s="11" customFormat="1" ht="15.7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15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  <c r="AH79" s="135"/>
    </row>
    <row r="80" spans="1:34" s="11" customFormat="1" ht="15.75">
      <c r="A80" s="3" t="s">
        <v>2</v>
      </c>
      <c r="B80" s="109">
        <f>6.5</f>
        <v>6.5</v>
      </c>
      <c r="C80" s="109">
        <v>10.1</v>
      </c>
      <c r="D80" s="67"/>
      <c r="E80" s="79"/>
      <c r="F80" s="79"/>
      <c r="G80" s="79">
        <v>0.7</v>
      </c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150"/>
      <c r="U80" s="79">
        <v>4.7</v>
      </c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5.4</v>
      </c>
      <c r="AG80" s="130">
        <f t="shared" si="16"/>
        <v>11.200000000000001</v>
      </c>
      <c r="AH80" s="135"/>
    </row>
    <row r="81" spans="1:34" s="11" customFormat="1" ht="15.75">
      <c r="A81" s="12" t="s">
        <v>49</v>
      </c>
      <c r="B81" s="109">
        <v>46.4</v>
      </c>
      <c r="C81" s="122">
        <v>0</v>
      </c>
      <c r="D81" s="79"/>
      <c r="E81" s="79"/>
      <c r="F81" s="79"/>
      <c r="G81" s="79"/>
      <c r="H81" s="79"/>
      <c r="I81" s="79"/>
      <c r="J81" s="80">
        <v>46.4</v>
      </c>
      <c r="K81" s="79"/>
      <c r="L81" s="79"/>
      <c r="M81" s="79"/>
      <c r="N81" s="79"/>
      <c r="O81" s="79"/>
      <c r="P81" s="79"/>
      <c r="Q81" s="79"/>
      <c r="R81" s="79"/>
      <c r="S81" s="80"/>
      <c r="T81" s="15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46.4</v>
      </c>
      <c r="AG81" s="130">
        <f t="shared" si="16"/>
        <v>0</v>
      </c>
      <c r="AH81" s="135"/>
    </row>
    <row r="82" spans="1:34" s="11" customFormat="1" ht="15.7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15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  <c r="AH82" s="135"/>
    </row>
    <row r="83" spans="1:34" s="11" customFormat="1" ht="15.7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150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H83" s="135"/>
    </row>
    <row r="84" spans="1:34" s="11" customFormat="1" ht="15.7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15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H84" s="135"/>
    </row>
    <row r="85" spans="1:34" s="11" customFormat="1" ht="15.7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15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H85" s="135"/>
    </row>
    <row r="86" spans="1:34" s="11" customFormat="1" ht="31.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15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H86" s="135"/>
    </row>
    <row r="87" spans="1:34" s="11" customFormat="1" ht="31.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15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H87" s="135"/>
    </row>
    <row r="88" spans="1:34" ht="15.7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148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35"/>
    </row>
    <row r="89" spans="1:35" ht="15.75">
      <c r="A89" s="4" t="s">
        <v>50</v>
      </c>
      <c r="B89" s="109">
        <f>3366.5</f>
        <v>3366.5</v>
      </c>
      <c r="C89" s="109">
        <v>4751.200000000001</v>
      </c>
      <c r="D89" s="67"/>
      <c r="E89" s="67">
        <v>74.2</v>
      </c>
      <c r="F89" s="67"/>
      <c r="G89" s="67">
        <v>508.7</v>
      </c>
      <c r="H89" s="67">
        <v>16.5</v>
      </c>
      <c r="I89" s="67"/>
      <c r="J89" s="67"/>
      <c r="K89" s="67"/>
      <c r="L89" s="67"/>
      <c r="M89" s="67">
        <v>120.5</v>
      </c>
      <c r="N89" s="67"/>
      <c r="O89" s="67"/>
      <c r="P89" s="67"/>
      <c r="Q89" s="67">
        <v>1481.6</v>
      </c>
      <c r="R89" s="67"/>
      <c r="S89" s="72"/>
      <c r="T89" s="148"/>
      <c r="U89" s="67">
        <v>832.6</v>
      </c>
      <c r="V89" s="67">
        <v>99.5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3133.6</v>
      </c>
      <c r="AG89" s="72">
        <f t="shared" si="16"/>
        <v>4984.1</v>
      </c>
      <c r="AH89" s="135"/>
      <c r="AI89" s="86"/>
    </row>
    <row r="90" spans="1:34" ht="15.75">
      <c r="A90" s="4" t="s">
        <v>51</v>
      </c>
      <c r="B90" s="109">
        <v>3519.4</v>
      </c>
      <c r="C90" s="109">
        <v>0</v>
      </c>
      <c r="D90" s="67"/>
      <c r="E90" s="67"/>
      <c r="F90" s="67"/>
      <c r="G90" s="67"/>
      <c r="H90" s="67"/>
      <c r="I90" s="67">
        <v>1173.1</v>
      </c>
      <c r="J90" s="67"/>
      <c r="K90" s="67"/>
      <c r="L90" s="67"/>
      <c r="M90" s="67"/>
      <c r="N90" s="67"/>
      <c r="O90" s="67"/>
      <c r="P90" s="67">
        <v>1173.1</v>
      </c>
      <c r="Q90" s="67"/>
      <c r="R90" s="67"/>
      <c r="S90" s="72"/>
      <c r="T90" s="148"/>
      <c r="U90" s="67"/>
      <c r="V90" s="67"/>
      <c r="W90" s="67"/>
      <c r="X90" s="72">
        <v>1173.2</v>
      </c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72">
        <f t="shared" si="16"/>
        <v>0</v>
      </c>
      <c r="AH90" s="135"/>
    </row>
    <row r="91" spans="1:34" ht="15.75">
      <c r="A91" s="4" t="s">
        <v>25</v>
      </c>
      <c r="B91" s="109">
        <f>1416.7-1416.7</f>
        <v>0</v>
      </c>
      <c r="C91" s="109">
        <f>2833.4-2833.4</f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148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35"/>
    </row>
    <row r="92" spans="1:34" ht="15.75">
      <c r="A92" s="4" t="s">
        <v>37</v>
      </c>
      <c r="B92" s="109">
        <f>33343.2-203.6+15218.1</f>
        <v>48357.7</v>
      </c>
      <c r="C92" s="109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>
        <v>27.8</v>
      </c>
      <c r="S92" s="72"/>
      <c r="T92" s="148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27.8</v>
      </c>
      <c r="AG92" s="72">
        <f t="shared" si="16"/>
        <v>48329.899999999994</v>
      </c>
      <c r="AH92" s="136"/>
    </row>
    <row r="93" spans="1:34" ht="15.7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148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  <c r="AH93" s="18"/>
    </row>
    <row r="94" spans="1:34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206815.8</v>
      </c>
      <c r="C94" s="124">
        <f t="shared" si="17"/>
        <v>44593</v>
      </c>
      <c r="D94" s="83">
        <f t="shared" si="17"/>
        <v>161.8</v>
      </c>
      <c r="E94" s="83">
        <f t="shared" si="17"/>
        <v>2433.1</v>
      </c>
      <c r="F94" s="83">
        <f t="shared" si="17"/>
        <v>1772.5000000000002</v>
      </c>
      <c r="G94" s="83">
        <f t="shared" si="17"/>
        <v>903</v>
      </c>
      <c r="H94" s="83">
        <f t="shared" si="17"/>
        <v>3442.2</v>
      </c>
      <c r="I94" s="83">
        <f t="shared" si="17"/>
        <v>4106.9</v>
      </c>
      <c r="J94" s="83">
        <f t="shared" si="17"/>
        <v>13654.7</v>
      </c>
      <c r="K94" s="83">
        <f t="shared" si="17"/>
        <v>31810.2</v>
      </c>
      <c r="L94" s="83">
        <f t="shared" si="17"/>
        <v>1194.6</v>
      </c>
      <c r="M94" s="83">
        <f t="shared" si="17"/>
        <v>449.20000000000005</v>
      </c>
      <c r="N94" s="83">
        <f t="shared" si="17"/>
        <v>2489.8</v>
      </c>
      <c r="O94" s="83">
        <f t="shared" si="17"/>
        <v>5447.1</v>
      </c>
      <c r="P94" s="83">
        <f t="shared" si="17"/>
        <v>3174.5</v>
      </c>
      <c r="Q94" s="83">
        <f t="shared" si="17"/>
        <v>5296</v>
      </c>
      <c r="R94" s="83">
        <f t="shared" si="17"/>
        <v>1875.8000000000002</v>
      </c>
      <c r="S94" s="83">
        <f t="shared" si="17"/>
        <v>2423.5</v>
      </c>
      <c r="T94" s="151">
        <f t="shared" si="17"/>
        <v>12003.999999999998</v>
      </c>
      <c r="U94" s="83">
        <f t="shared" si="17"/>
        <v>48886.999999999985</v>
      </c>
      <c r="V94" s="83">
        <f t="shared" si="17"/>
        <v>8105.9</v>
      </c>
      <c r="W94" s="83">
        <f t="shared" si="17"/>
        <v>1305.0000000000002</v>
      </c>
      <c r="X94" s="83">
        <f t="shared" si="17"/>
        <v>1173.2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152109.99999999997</v>
      </c>
      <c r="AG94" s="84">
        <f>AG10+AG15+AG24+AG33+AG47+AG52+AG54+AG61+AG62+AG69+AG71+AG72+AG76+AG81+AG82+AG83+AG88+AG89+AG90+AG91+AG70+AG40+AG92</f>
        <v>99298.8</v>
      </c>
      <c r="AH94" s="107"/>
    </row>
    <row r="95" spans="1:34" ht="15.75">
      <c r="A95" s="3" t="s">
        <v>5</v>
      </c>
      <c r="B95" s="22">
        <f>B11+B17+B26+B34+B55+B63+B73+B41+B77+B48</f>
        <v>70975.69999999998</v>
      </c>
      <c r="C95" s="109">
        <f aca="true" t="shared" si="18" ref="C95:AD95">C11+C17+C26+C34+C55+C63+C73+C41+C77+C48</f>
        <v>5077.600000000006</v>
      </c>
      <c r="D95" s="67">
        <f t="shared" si="18"/>
        <v>52.7</v>
      </c>
      <c r="E95" s="67">
        <f t="shared" si="18"/>
        <v>35</v>
      </c>
      <c r="F95" s="67">
        <f t="shared" si="18"/>
        <v>46.900000000000006</v>
      </c>
      <c r="G95" s="67">
        <f t="shared" si="18"/>
        <v>18.7</v>
      </c>
      <c r="H95" s="67">
        <f t="shared" si="18"/>
        <v>69.1</v>
      </c>
      <c r="I95" s="67">
        <f t="shared" si="18"/>
        <v>92.1</v>
      </c>
      <c r="J95" s="67">
        <f t="shared" si="18"/>
        <v>1599.3000000000002</v>
      </c>
      <c r="K95" s="67">
        <f t="shared" si="18"/>
        <v>25005</v>
      </c>
      <c r="L95" s="67">
        <f t="shared" si="18"/>
        <v>624.2</v>
      </c>
      <c r="M95" s="67">
        <f t="shared" si="18"/>
        <v>196.7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148">
        <f t="shared" si="18"/>
        <v>1157</v>
      </c>
      <c r="U95" s="67">
        <f t="shared" si="18"/>
        <v>32924.5</v>
      </c>
      <c r="V95" s="67">
        <f t="shared" si="18"/>
        <v>7208.3</v>
      </c>
      <c r="W95" s="67">
        <f t="shared" si="18"/>
        <v>948.5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69978</v>
      </c>
      <c r="AG95" s="71">
        <f>B95+C95-AF95</f>
        <v>6075.299999999988</v>
      </c>
      <c r="AH95" s="18"/>
    </row>
    <row r="96" spans="1:34" ht="15.75">
      <c r="A96" s="3" t="s">
        <v>2</v>
      </c>
      <c r="B96" s="22">
        <f aca="true" t="shared" si="19" ref="B96:AD96">B12+B20+B29+B36+B57+B66+B44+B80+B74+B53</f>
        <v>19909.2</v>
      </c>
      <c r="C96" s="109">
        <f t="shared" si="19"/>
        <v>15420.199999999997</v>
      </c>
      <c r="D96" s="67">
        <f t="shared" si="19"/>
        <v>86.9</v>
      </c>
      <c r="E96" s="67">
        <f t="shared" si="19"/>
        <v>1152.9</v>
      </c>
      <c r="F96" s="67">
        <f t="shared" si="19"/>
        <v>1085.3</v>
      </c>
      <c r="G96" s="67">
        <f t="shared" si="19"/>
        <v>104.4</v>
      </c>
      <c r="H96" s="67">
        <f t="shared" si="19"/>
        <v>5.4</v>
      </c>
      <c r="I96" s="67">
        <f t="shared" si="19"/>
        <v>2110.7</v>
      </c>
      <c r="J96" s="67">
        <f t="shared" si="19"/>
        <v>47.300000000000004</v>
      </c>
      <c r="K96" s="67">
        <f t="shared" si="19"/>
        <v>4778</v>
      </c>
      <c r="L96" s="67">
        <f t="shared" si="19"/>
        <v>312</v>
      </c>
      <c r="M96" s="67">
        <f t="shared" si="19"/>
        <v>0</v>
      </c>
      <c r="N96" s="67">
        <f t="shared" si="19"/>
        <v>2036.8000000000002</v>
      </c>
      <c r="O96" s="67">
        <f t="shared" si="19"/>
        <v>1645.3999999999999</v>
      </c>
      <c r="P96" s="67">
        <f t="shared" si="19"/>
        <v>1242.1000000000001</v>
      </c>
      <c r="Q96" s="67">
        <f t="shared" si="19"/>
        <v>2813.6</v>
      </c>
      <c r="R96" s="67">
        <f t="shared" si="19"/>
        <v>1264.5</v>
      </c>
      <c r="S96" s="67">
        <f t="shared" si="19"/>
        <v>1503.3</v>
      </c>
      <c r="T96" s="148">
        <f t="shared" si="19"/>
        <v>86.7</v>
      </c>
      <c r="U96" s="67">
        <f t="shared" si="19"/>
        <v>1074.5</v>
      </c>
      <c r="V96" s="67">
        <f t="shared" si="19"/>
        <v>332.9</v>
      </c>
      <c r="W96" s="67">
        <f t="shared" si="19"/>
        <v>0.9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21683.600000000002</v>
      </c>
      <c r="AG96" s="71">
        <f>B96+C96-AF96</f>
        <v>13645.799999999992</v>
      </c>
      <c r="AH96" s="18"/>
    </row>
    <row r="97" spans="1:34" ht="15.75">
      <c r="A97" s="3" t="s">
        <v>3</v>
      </c>
      <c r="B97" s="22">
        <f aca="true" t="shared" si="20" ref="B97:AA97">B18+B27+B42+B64+B78</f>
        <v>31.6</v>
      </c>
      <c r="C97" s="109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3.4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148">
        <f t="shared" si="20"/>
        <v>0</v>
      </c>
      <c r="U97" s="67">
        <f t="shared" si="20"/>
        <v>5.4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8.8</v>
      </c>
      <c r="AG97" s="71">
        <f>B97+C97-AF97</f>
        <v>22.8</v>
      </c>
      <c r="AH97" s="18"/>
    </row>
    <row r="98" spans="1:33" ht="15.75">
      <c r="A98" s="3" t="s">
        <v>1</v>
      </c>
      <c r="B98" s="22">
        <f aca="true" t="shared" si="21" ref="B98:AD98">B19+B28+B65+B35+B43+B56+B79</f>
        <v>1971.6999999999998</v>
      </c>
      <c r="C98" s="109">
        <f t="shared" si="21"/>
        <v>6024.600000000001</v>
      </c>
      <c r="D98" s="67">
        <f t="shared" si="21"/>
        <v>0</v>
      </c>
      <c r="E98" s="67">
        <f t="shared" si="21"/>
        <v>0</v>
      </c>
      <c r="F98" s="67">
        <f t="shared" si="21"/>
        <v>91.4</v>
      </c>
      <c r="G98" s="67">
        <f t="shared" si="21"/>
        <v>43.2</v>
      </c>
      <c r="H98" s="67">
        <f t="shared" si="21"/>
        <v>0</v>
      </c>
      <c r="I98" s="67">
        <f t="shared" si="21"/>
        <v>327.2</v>
      </c>
      <c r="J98" s="67">
        <f t="shared" si="21"/>
        <v>0</v>
      </c>
      <c r="K98" s="67">
        <f t="shared" si="21"/>
        <v>270.20000000000005</v>
      </c>
      <c r="L98" s="67">
        <f t="shared" si="21"/>
        <v>2.7</v>
      </c>
      <c r="M98" s="67">
        <f t="shared" si="21"/>
        <v>9.2</v>
      </c>
      <c r="N98" s="67">
        <f t="shared" si="21"/>
        <v>114.30000000000001</v>
      </c>
      <c r="O98" s="67">
        <f t="shared" si="21"/>
        <v>74.6</v>
      </c>
      <c r="P98" s="67">
        <f t="shared" si="21"/>
        <v>18.9</v>
      </c>
      <c r="Q98" s="67">
        <f t="shared" si="21"/>
        <v>25</v>
      </c>
      <c r="R98" s="67">
        <f t="shared" si="21"/>
        <v>230.60000000000002</v>
      </c>
      <c r="S98" s="67">
        <f t="shared" si="21"/>
        <v>75.6</v>
      </c>
      <c r="T98" s="148">
        <f t="shared" si="21"/>
        <v>5.7</v>
      </c>
      <c r="U98" s="67">
        <f t="shared" si="21"/>
        <v>3005.7999999999997</v>
      </c>
      <c r="V98" s="67">
        <f t="shared" si="21"/>
        <v>83.8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4378.2</v>
      </c>
      <c r="AG98" s="71">
        <f>B98+C98-AF98</f>
        <v>3618.1000000000013</v>
      </c>
    </row>
    <row r="99" spans="1:33" ht="15.75">
      <c r="A99" s="3" t="s">
        <v>16</v>
      </c>
      <c r="B99" s="22">
        <f aca="true" t="shared" si="22" ref="B99:X99">B21+B30+B49+B37+B58+B13+B75+B67</f>
        <v>2299</v>
      </c>
      <c r="C99" s="109">
        <f t="shared" si="22"/>
        <v>814.9000000000002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0</v>
      </c>
      <c r="H99" s="67">
        <f t="shared" si="22"/>
        <v>94.89999999999999</v>
      </c>
      <c r="I99" s="67">
        <f t="shared" si="22"/>
        <v>110</v>
      </c>
      <c r="J99" s="67">
        <f t="shared" si="22"/>
        <v>0</v>
      </c>
      <c r="K99" s="67">
        <f t="shared" si="22"/>
        <v>150.29999999999998</v>
      </c>
      <c r="L99" s="67">
        <f t="shared" si="22"/>
        <v>98.3</v>
      </c>
      <c r="M99" s="67">
        <f t="shared" si="22"/>
        <v>57</v>
      </c>
      <c r="N99" s="67">
        <f t="shared" si="22"/>
        <v>5.4</v>
      </c>
      <c r="O99" s="67">
        <f t="shared" si="22"/>
        <v>442.7</v>
      </c>
      <c r="P99" s="67">
        <f t="shared" si="22"/>
        <v>233.9</v>
      </c>
      <c r="Q99" s="67">
        <f t="shared" si="22"/>
        <v>0</v>
      </c>
      <c r="R99" s="67">
        <f t="shared" si="22"/>
        <v>85.3</v>
      </c>
      <c r="S99" s="67">
        <f t="shared" si="22"/>
        <v>695.2</v>
      </c>
      <c r="T99" s="148">
        <f t="shared" si="22"/>
        <v>143.6</v>
      </c>
      <c r="U99" s="67">
        <f t="shared" si="22"/>
        <v>216.89999999999998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2333.5</v>
      </c>
      <c r="AG99" s="71">
        <f>B99+C99-AF99</f>
        <v>780.4000000000001</v>
      </c>
    </row>
    <row r="100" spans="1:33" ht="12.75">
      <c r="A100" s="1" t="s">
        <v>35</v>
      </c>
      <c r="B100" s="2">
        <f aca="true" t="shared" si="24" ref="B100:AD100">B94-B95-B96-B97-B98-B99</f>
        <v>111628.6</v>
      </c>
      <c r="C100" s="20">
        <f t="shared" si="24"/>
        <v>17255.699999999993</v>
      </c>
      <c r="D100" s="85">
        <f t="shared" si="24"/>
        <v>22.200000000000003</v>
      </c>
      <c r="E100" s="85">
        <f t="shared" si="24"/>
        <v>1245.1999999999998</v>
      </c>
      <c r="F100" s="85">
        <f t="shared" si="24"/>
        <v>548.9000000000002</v>
      </c>
      <c r="G100" s="85">
        <f t="shared" si="24"/>
        <v>736.6999999999999</v>
      </c>
      <c r="H100" s="85">
        <f t="shared" si="24"/>
        <v>3272.7999999999997</v>
      </c>
      <c r="I100" s="85">
        <f t="shared" si="24"/>
        <v>1463.4999999999998</v>
      </c>
      <c r="J100" s="85">
        <f t="shared" si="24"/>
        <v>12008.100000000002</v>
      </c>
      <c r="K100" s="85">
        <f t="shared" si="24"/>
        <v>1606.7000000000007</v>
      </c>
      <c r="L100" s="85">
        <f t="shared" si="24"/>
        <v>157.39999999999986</v>
      </c>
      <c r="M100" s="85">
        <f t="shared" si="24"/>
        <v>186.30000000000007</v>
      </c>
      <c r="N100" s="85">
        <f t="shared" si="24"/>
        <v>333.3</v>
      </c>
      <c r="O100" s="85">
        <f t="shared" si="24"/>
        <v>3284.400000000001</v>
      </c>
      <c r="P100" s="85">
        <f t="shared" si="24"/>
        <v>1679.5999999999997</v>
      </c>
      <c r="Q100" s="85">
        <f t="shared" si="24"/>
        <v>2457.4</v>
      </c>
      <c r="R100" s="85">
        <f t="shared" si="24"/>
        <v>295.40000000000015</v>
      </c>
      <c r="S100" s="85">
        <f t="shared" si="24"/>
        <v>149.39999999999998</v>
      </c>
      <c r="T100" s="152">
        <f t="shared" si="24"/>
        <v>10610.999999999996</v>
      </c>
      <c r="U100" s="85">
        <f t="shared" si="24"/>
        <v>11659.899999999987</v>
      </c>
      <c r="V100" s="85">
        <f t="shared" si="24"/>
        <v>480.89999999999947</v>
      </c>
      <c r="W100" s="85">
        <f t="shared" si="24"/>
        <v>355.60000000000025</v>
      </c>
      <c r="X100" s="85">
        <f t="shared" si="24"/>
        <v>1173.2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53727.899999999965</v>
      </c>
      <c r="AG100" s="85">
        <f>AG94-AG95-AG96-AG97-AG98-AG99</f>
        <v>75156.40000000002</v>
      </c>
    </row>
    <row r="101" spans="1:33" s="32" customFormat="1" ht="15.75">
      <c r="A101" s="30"/>
      <c r="B101" s="31"/>
      <c r="C101" s="125"/>
      <c r="T101" s="15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154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155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156"/>
      <c r="U104" s="86"/>
      <c r="V104" s="86"/>
      <c r="W104" s="86"/>
      <c r="X104" s="131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157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158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158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158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158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158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158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158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158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158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158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158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158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158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158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158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158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158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158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158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158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158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158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158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158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158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158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158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158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158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158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158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158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158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159"/>
      <c r="U179" s="27"/>
      <c r="V179" s="27"/>
      <c r="W179" s="27"/>
      <c r="X179" s="26"/>
      <c r="Y179" s="26"/>
      <c r="Z179" s="26"/>
    </row>
    <row r="180" spans="19:26" ht="12.75">
      <c r="S180" s="26"/>
      <c r="T180" s="159"/>
      <c r="U180" s="27"/>
      <c r="V180" s="27"/>
      <c r="W180" s="27"/>
      <c r="X180" s="26"/>
      <c r="Y180" s="26"/>
      <c r="Z180" s="26"/>
    </row>
    <row r="181" spans="19:26" ht="12.75">
      <c r="S181" s="26"/>
      <c r="T181" s="159"/>
      <c r="U181" s="27"/>
      <c r="V181" s="27"/>
      <c r="W181" s="27"/>
      <c r="X181" s="26"/>
      <c r="Y181" s="26"/>
      <c r="Z181" s="26"/>
    </row>
    <row r="182" spans="19:26" ht="12.75">
      <c r="S182" s="26"/>
      <c r="T182" s="159"/>
      <c r="U182" s="27"/>
      <c r="V182" s="27"/>
      <c r="W182" s="27"/>
      <c r="X182" s="26"/>
      <c r="Y182" s="26"/>
      <c r="Z182" s="26"/>
    </row>
    <row r="183" spans="19:26" ht="12.75">
      <c r="S183" s="26"/>
      <c r="T183" s="159"/>
      <c r="U183" s="27"/>
      <c r="V183" s="27"/>
      <c r="W183" s="27"/>
      <c r="X183" s="26"/>
      <c r="Y183" s="26"/>
      <c r="Z183" s="26"/>
    </row>
    <row r="184" spans="19:26" ht="12.75">
      <c r="S184" s="26"/>
      <c r="T184" s="159"/>
      <c r="U184" s="27"/>
      <c r="V184" s="27"/>
      <c r="W184" s="27"/>
      <c r="X184" s="26"/>
      <c r="Y184" s="26"/>
      <c r="Z184" s="26"/>
    </row>
    <row r="185" spans="19:26" ht="12.75">
      <c r="S185" s="26"/>
      <c r="T185" s="159"/>
      <c r="U185" s="27"/>
      <c r="V185" s="27"/>
      <c r="W185" s="27"/>
      <c r="X185" s="26"/>
      <c r="Y185" s="26"/>
      <c r="Z185" s="26"/>
    </row>
    <row r="186" spans="19:26" ht="12.75">
      <c r="S186" s="26"/>
      <c r="T186" s="159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4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71" sqref="AG7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0" style="0" hidden="1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0" t="s">
        <v>12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</row>
    <row r="2" spans="1:33" ht="22.5" customHeight="1">
      <c r="A2" s="161" t="s">
        <v>58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59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8">
        <v>27</v>
      </c>
      <c r="W4" s="8">
        <v>30</v>
      </c>
      <c r="X4" s="19">
        <v>30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41182.6</v>
      </c>
      <c r="C7" s="129">
        <v>17111.100000000002</v>
      </c>
      <c r="D7" s="38">
        <v>0</v>
      </c>
      <c r="E7" s="38">
        <v>20591.3</v>
      </c>
      <c r="F7" s="38"/>
      <c r="G7" s="38"/>
      <c r="H7" s="56"/>
      <c r="I7" s="38"/>
      <c r="J7" s="39">
        <v>20591.3</v>
      </c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C7+E7+J7-AF16-AF25</f>
        <v>17407.199999999997</v>
      </c>
      <c r="AF7" s="54"/>
      <c r="AG7" s="40"/>
    </row>
    <row r="8" spans="1:55" ht="18" customHeight="1">
      <c r="A8" s="47" t="s">
        <v>30</v>
      </c>
      <c r="B8" s="33">
        <f>SUM(E8:AB8)</f>
        <v>120817.09999999999</v>
      </c>
      <c r="C8" s="103">
        <v>131745.57000000012</v>
      </c>
      <c r="D8" s="59">
        <v>10196.3</v>
      </c>
      <c r="E8" s="60">
        <v>3455.9</v>
      </c>
      <c r="F8" s="61">
        <v>3432.1</v>
      </c>
      <c r="G8" s="61">
        <v>4021.3</v>
      </c>
      <c r="H8" s="61">
        <v>7865.9</v>
      </c>
      <c r="I8" s="61">
        <v>15053.3</v>
      </c>
      <c r="J8" s="61">
        <v>2661.2</v>
      </c>
      <c r="K8" s="62">
        <v>3493.4</v>
      </c>
      <c r="L8" s="61">
        <v>4732.5</v>
      </c>
      <c r="M8" s="61">
        <v>9610.8</v>
      </c>
      <c r="N8" s="61">
        <v>5765.5</v>
      </c>
      <c r="O8" s="61">
        <v>4107.6</v>
      </c>
      <c r="P8" s="61">
        <v>4127.3</v>
      </c>
      <c r="Q8" s="61">
        <v>7220.9</v>
      </c>
      <c r="R8" s="61">
        <v>11011.8</v>
      </c>
      <c r="S8" s="63">
        <v>6079.9</v>
      </c>
      <c r="T8" s="63">
        <v>4400.3</v>
      </c>
      <c r="U8" s="61">
        <f>7760.3+490</f>
        <v>8250.3</v>
      </c>
      <c r="V8" s="61">
        <v>15527.1</v>
      </c>
      <c r="W8" s="61"/>
      <c r="X8" s="62"/>
      <c r="Y8" s="62"/>
      <c r="Z8" s="62"/>
      <c r="AA8" s="62"/>
      <c r="AB8" s="61"/>
      <c r="AC8" s="64"/>
      <c r="AD8" s="64"/>
      <c r="AE8" s="65">
        <f>SUM(D8:AD8)+C8-AF9+AF16+AF25</f>
        <v>134565.07000000018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174202</v>
      </c>
      <c r="C9" s="105">
        <f aca="true" t="shared" si="0" ref="C9:AD9">C10+C15+C24+C33+C47+C52+C54+C61+C62+C71+C72+C88+C76+C81+C83+C82+C69+C89+C90+C91+C70+C40+C92</f>
        <v>99298.70000000001</v>
      </c>
      <c r="D9" s="68">
        <f t="shared" si="0"/>
        <v>12655.7</v>
      </c>
      <c r="E9" s="68">
        <f t="shared" si="0"/>
        <v>3478</v>
      </c>
      <c r="F9" s="68">
        <f t="shared" si="0"/>
        <v>5152.900000000001</v>
      </c>
      <c r="G9" s="68">
        <f t="shared" si="0"/>
        <v>1339.1999999999998</v>
      </c>
      <c r="H9" s="68">
        <f t="shared" si="0"/>
        <v>5681.099999999999</v>
      </c>
      <c r="I9" s="68">
        <f t="shared" si="0"/>
        <v>4179.9</v>
      </c>
      <c r="J9" s="68">
        <f t="shared" si="0"/>
        <v>39663.4</v>
      </c>
      <c r="K9" s="68">
        <f t="shared" si="0"/>
        <v>8056.199999999999</v>
      </c>
      <c r="L9" s="68">
        <f t="shared" si="0"/>
        <v>4200.5</v>
      </c>
      <c r="M9" s="68">
        <f t="shared" si="0"/>
        <v>3784.2</v>
      </c>
      <c r="N9" s="68">
        <f t="shared" si="0"/>
        <v>3260.3</v>
      </c>
      <c r="O9" s="68">
        <f t="shared" si="0"/>
        <v>1927.3</v>
      </c>
      <c r="P9" s="68">
        <f t="shared" si="0"/>
        <v>3468.3000000000006</v>
      </c>
      <c r="Q9" s="68">
        <f t="shared" si="0"/>
        <v>2966.3999999999996</v>
      </c>
      <c r="R9" s="68">
        <f t="shared" si="0"/>
        <v>7772.200000000001</v>
      </c>
      <c r="S9" s="68">
        <f t="shared" si="0"/>
        <v>41328.50000000001</v>
      </c>
      <c r="T9" s="68">
        <f t="shared" si="0"/>
        <v>13693.5</v>
      </c>
      <c r="U9" s="68">
        <f t="shared" si="0"/>
        <v>5063.5</v>
      </c>
      <c r="V9" s="68">
        <f t="shared" si="0"/>
        <v>1409.3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169080.39999999997</v>
      </c>
      <c r="AG9" s="69">
        <f>AG10+AG15+AG24+AG33+AG47+AG52+AG54+AG61+AG62+AG71+AG72+AG76+AG88+AG81+AG83+AG82+AG69+AG89+AG91+AG90+AG70+AG40+AG92</f>
        <v>104420.30000000002</v>
      </c>
      <c r="AH9" s="41"/>
      <c r="AI9" s="41"/>
    </row>
    <row r="10" spans="1:33" ht="15.75">
      <c r="A10" s="4" t="s">
        <v>4</v>
      </c>
      <c r="B10" s="72">
        <v>18016.8</v>
      </c>
      <c r="C10" s="109">
        <v>5130.499999999996</v>
      </c>
      <c r="D10" s="67">
        <v>36</v>
      </c>
      <c r="E10" s="67">
        <v>231.6</v>
      </c>
      <c r="F10" s="67">
        <v>8.4</v>
      </c>
      <c r="G10" s="67">
        <v>31.2</v>
      </c>
      <c r="H10" s="67">
        <v>47.3</v>
      </c>
      <c r="I10" s="67">
        <v>319.1</v>
      </c>
      <c r="J10" s="70">
        <v>2926.4</v>
      </c>
      <c r="K10" s="67">
        <v>2260.7</v>
      </c>
      <c r="L10" s="67">
        <v>79.3</v>
      </c>
      <c r="M10" s="67">
        <v>22.6</v>
      </c>
      <c r="N10" s="67">
        <v>68</v>
      </c>
      <c r="O10" s="71">
        <v>18.1</v>
      </c>
      <c r="P10" s="67">
        <v>80</v>
      </c>
      <c r="Q10" s="67">
        <v>9.6</v>
      </c>
      <c r="R10" s="67">
        <v>46.5</v>
      </c>
      <c r="S10" s="72">
        <v>26.3</v>
      </c>
      <c r="T10" s="72">
        <v>7704.4</v>
      </c>
      <c r="U10" s="72">
        <v>2647.4</v>
      </c>
      <c r="V10" s="72">
        <v>0.1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16563</v>
      </c>
      <c r="AG10" s="72">
        <f>B10+C10-AF10</f>
        <v>6584.299999999996</v>
      </c>
    </row>
    <row r="11" spans="1:33" ht="15.75">
      <c r="A11" s="3" t="s">
        <v>5</v>
      </c>
      <c r="B11" s="72">
        <v>17080.4</v>
      </c>
      <c r="C11" s="109">
        <v>3920.0000000000036</v>
      </c>
      <c r="D11" s="67">
        <v>36</v>
      </c>
      <c r="E11" s="67">
        <v>155.6</v>
      </c>
      <c r="F11" s="67"/>
      <c r="G11" s="67"/>
      <c r="H11" s="67"/>
      <c r="I11" s="67">
        <v>316.6</v>
      </c>
      <c r="J11" s="72">
        <v>2911.1</v>
      </c>
      <c r="K11" s="67">
        <v>2188.5</v>
      </c>
      <c r="L11" s="67">
        <v>59.6</v>
      </c>
      <c r="M11" s="67"/>
      <c r="N11" s="67">
        <v>63.7</v>
      </c>
      <c r="O11" s="71"/>
      <c r="P11" s="67">
        <v>64.8</v>
      </c>
      <c r="Q11" s="67"/>
      <c r="R11" s="67"/>
      <c r="S11" s="72"/>
      <c r="T11" s="72">
        <v>7694.4</v>
      </c>
      <c r="U11" s="72">
        <v>2449.7</v>
      </c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15940</v>
      </c>
      <c r="AG11" s="72">
        <f>B11+C11-AF11</f>
        <v>5060.400000000005</v>
      </c>
    </row>
    <row r="12" spans="1:33" ht="15.75">
      <c r="A12" s="3" t="s">
        <v>2</v>
      </c>
      <c r="B12" s="70">
        <f>248.8+1</f>
        <v>249.8</v>
      </c>
      <c r="C12" s="109">
        <v>254.0999999999999</v>
      </c>
      <c r="D12" s="67"/>
      <c r="E12" s="67"/>
      <c r="F12" s="67"/>
      <c r="G12" s="67"/>
      <c r="H12" s="67">
        <v>22.2</v>
      </c>
      <c r="I12" s="67"/>
      <c r="J12" s="72"/>
      <c r="K12" s="67"/>
      <c r="L12" s="67"/>
      <c r="M12" s="67">
        <v>4.8</v>
      </c>
      <c r="N12" s="67"/>
      <c r="O12" s="71"/>
      <c r="P12" s="67"/>
      <c r="Q12" s="67">
        <v>1.6</v>
      </c>
      <c r="R12" s="67"/>
      <c r="S12" s="72"/>
      <c r="T12" s="72"/>
      <c r="U12" s="72">
        <v>54.8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83.4</v>
      </c>
      <c r="AG12" s="72">
        <f>B12+C12-AF12</f>
        <v>420.4999999999999</v>
      </c>
    </row>
    <row r="13" spans="1:33" ht="15.7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.75">
      <c r="A14" s="3" t="s">
        <v>23</v>
      </c>
      <c r="B14" s="72">
        <f aca="true" t="shared" si="2" ref="B14:Y14">B10-B11-B12-B13</f>
        <v>686.5999999999979</v>
      </c>
      <c r="C14" s="109">
        <f t="shared" si="2"/>
        <v>956.3999999999928</v>
      </c>
      <c r="D14" s="67">
        <f t="shared" si="2"/>
        <v>0</v>
      </c>
      <c r="E14" s="67">
        <f t="shared" si="2"/>
        <v>76</v>
      </c>
      <c r="F14" s="67">
        <f t="shared" si="2"/>
        <v>8.4</v>
      </c>
      <c r="G14" s="67">
        <f t="shared" si="2"/>
        <v>31.2</v>
      </c>
      <c r="H14" s="67">
        <f t="shared" si="2"/>
        <v>25.099999999999998</v>
      </c>
      <c r="I14" s="67">
        <f t="shared" si="2"/>
        <v>2.5</v>
      </c>
      <c r="J14" s="67">
        <f t="shared" si="2"/>
        <v>15.300000000000182</v>
      </c>
      <c r="K14" s="67">
        <f t="shared" si="2"/>
        <v>72.19999999999982</v>
      </c>
      <c r="L14" s="67">
        <f t="shared" si="2"/>
        <v>19.699999999999996</v>
      </c>
      <c r="M14" s="67">
        <f t="shared" si="2"/>
        <v>17.8</v>
      </c>
      <c r="N14" s="67">
        <f t="shared" si="2"/>
        <v>4.299999999999997</v>
      </c>
      <c r="O14" s="67">
        <f t="shared" si="2"/>
        <v>18.1</v>
      </c>
      <c r="P14" s="67">
        <f t="shared" si="2"/>
        <v>15.200000000000003</v>
      </c>
      <c r="Q14" s="67">
        <f t="shared" si="2"/>
        <v>8</v>
      </c>
      <c r="R14" s="67">
        <f t="shared" si="2"/>
        <v>46.5</v>
      </c>
      <c r="S14" s="67">
        <f t="shared" si="2"/>
        <v>26.3</v>
      </c>
      <c r="T14" s="67">
        <f t="shared" si="2"/>
        <v>10</v>
      </c>
      <c r="U14" s="67">
        <f t="shared" si="2"/>
        <v>142.90000000000026</v>
      </c>
      <c r="V14" s="67">
        <f t="shared" si="2"/>
        <v>0.1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539.6000000000003</v>
      </c>
      <c r="AG14" s="72">
        <f>AG10-AG11-AG12-AG13</f>
        <v>1103.3999999999905</v>
      </c>
    </row>
    <row r="15" spans="1:35" ht="15" customHeight="1">
      <c r="A15" s="4" t="s">
        <v>6</v>
      </c>
      <c r="B15" s="72">
        <f>71583.2-1768.4</f>
        <v>69814.8</v>
      </c>
      <c r="C15" s="109">
        <v>19527.70000000001</v>
      </c>
      <c r="D15" s="73"/>
      <c r="E15" s="73"/>
      <c r="F15" s="67"/>
      <c r="G15" s="67">
        <v>106.4</v>
      </c>
      <c r="H15" s="67">
        <v>4889.9</v>
      </c>
      <c r="I15" s="67"/>
      <c r="J15" s="72">
        <f>12872.8+9459.9</f>
        <v>22332.699999999997</v>
      </c>
      <c r="K15" s="67">
        <v>2026.8</v>
      </c>
      <c r="L15" s="67"/>
      <c r="M15" s="67">
        <v>3569.9</v>
      </c>
      <c r="N15" s="67">
        <v>20.4</v>
      </c>
      <c r="O15" s="71">
        <v>34.1</v>
      </c>
      <c r="P15" s="67">
        <v>1430.4</v>
      </c>
      <c r="Q15" s="71">
        <v>818.6</v>
      </c>
      <c r="R15" s="67">
        <v>1203</v>
      </c>
      <c r="S15" s="72">
        <v>28351</v>
      </c>
      <c r="T15" s="72">
        <v>2661.6</v>
      </c>
      <c r="U15" s="72">
        <v>130.7</v>
      </c>
      <c r="V15" s="72">
        <v>1.4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67576.9</v>
      </c>
      <c r="AG15" s="72">
        <f aca="true" t="shared" si="3" ref="AG15:AG31">B15+C15-AF15</f>
        <v>21765.60000000002</v>
      </c>
      <c r="AI15" s="86"/>
    </row>
    <row r="16" spans="1:34" s="53" customFormat="1" ht="15" customHeight="1">
      <c r="A16" s="51" t="s">
        <v>38</v>
      </c>
      <c r="B16" s="76">
        <v>20948</v>
      </c>
      <c r="C16" s="114">
        <v>96.69999999999345</v>
      </c>
      <c r="D16" s="74"/>
      <c r="E16" s="74"/>
      <c r="F16" s="75"/>
      <c r="G16" s="75"/>
      <c r="H16" s="75"/>
      <c r="I16" s="75"/>
      <c r="J16" s="76">
        <v>9459.9</v>
      </c>
      <c r="K16" s="75"/>
      <c r="L16" s="75"/>
      <c r="M16" s="75"/>
      <c r="N16" s="75"/>
      <c r="O16" s="77"/>
      <c r="P16" s="75"/>
      <c r="Q16" s="77"/>
      <c r="R16" s="75"/>
      <c r="S16" s="76">
        <v>11450.4</v>
      </c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20910.3</v>
      </c>
      <c r="AG16" s="115">
        <f t="shared" si="3"/>
        <v>134.39999999999418</v>
      </c>
      <c r="AH16" s="57"/>
    </row>
    <row r="17" spans="1:34" ht="15.75">
      <c r="A17" s="3" t="s">
        <v>5</v>
      </c>
      <c r="B17" s="72">
        <f>53946.2-1768.4</f>
        <v>52177.799999999996</v>
      </c>
      <c r="C17" s="109">
        <v>1689</v>
      </c>
      <c r="D17" s="67"/>
      <c r="E17" s="67"/>
      <c r="F17" s="67"/>
      <c r="G17" s="67"/>
      <c r="H17" s="67"/>
      <c r="I17" s="67"/>
      <c r="J17" s="72">
        <f>11230.1+9459.9</f>
        <v>20690</v>
      </c>
      <c r="K17" s="67"/>
      <c r="L17" s="67"/>
      <c r="M17" s="67"/>
      <c r="N17" s="67">
        <v>20.4</v>
      </c>
      <c r="O17" s="71"/>
      <c r="P17" s="67"/>
      <c r="Q17" s="71"/>
      <c r="R17" s="67"/>
      <c r="S17" s="72">
        <v>27982.6</v>
      </c>
      <c r="T17" s="72">
        <v>1967.7</v>
      </c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50660.7</v>
      </c>
      <c r="AG17" s="72">
        <f t="shared" si="3"/>
        <v>3206.0999999999985</v>
      </c>
      <c r="AH17" s="6"/>
    </row>
    <row r="18" spans="1:33" ht="15.75">
      <c r="A18" s="3" t="s">
        <v>3</v>
      </c>
      <c r="B18" s="72"/>
      <c r="C18" s="109">
        <v>22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>
        <v>0.8</v>
      </c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0.8</v>
      </c>
      <c r="AG18" s="72">
        <f t="shared" si="3"/>
        <v>21.2</v>
      </c>
    </row>
    <row r="19" spans="1:33" ht="15.75">
      <c r="A19" s="3" t="s">
        <v>1</v>
      </c>
      <c r="B19" s="72">
        <v>4433.5</v>
      </c>
      <c r="C19" s="109">
        <v>3578.4000000000015</v>
      </c>
      <c r="D19" s="67"/>
      <c r="E19" s="67"/>
      <c r="F19" s="67"/>
      <c r="G19" s="67"/>
      <c r="H19" s="67">
        <v>354.8</v>
      </c>
      <c r="I19" s="67"/>
      <c r="J19" s="72">
        <v>44.3</v>
      </c>
      <c r="K19" s="67">
        <v>30.2</v>
      </c>
      <c r="L19" s="67"/>
      <c r="M19" s="67">
        <v>21.4</v>
      </c>
      <c r="N19" s="67"/>
      <c r="O19" s="71"/>
      <c r="P19" s="67">
        <v>9.3</v>
      </c>
      <c r="Q19" s="71">
        <v>291.3</v>
      </c>
      <c r="R19" s="67">
        <v>59.1</v>
      </c>
      <c r="S19" s="72">
        <v>25.3</v>
      </c>
      <c r="T19" s="72">
        <v>309.8</v>
      </c>
      <c r="U19" s="72">
        <v>2.1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1147.6</v>
      </c>
      <c r="AG19" s="72">
        <f t="shared" si="3"/>
        <v>6864.300000000001</v>
      </c>
    </row>
    <row r="20" spans="1:33" ht="15.75">
      <c r="A20" s="3" t="s">
        <v>2</v>
      </c>
      <c r="B20" s="72">
        <f>7618.7-32.5</f>
        <v>7586.2</v>
      </c>
      <c r="C20" s="109">
        <v>11364.699999999997</v>
      </c>
      <c r="D20" s="67"/>
      <c r="E20" s="67"/>
      <c r="F20" s="67"/>
      <c r="G20" s="67">
        <v>64.3</v>
      </c>
      <c r="H20" s="67">
        <v>4505.7</v>
      </c>
      <c r="I20" s="67"/>
      <c r="J20" s="72">
        <v>1218.1</v>
      </c>
      <c r="K20" s="67">
        <v>1977.6</v>
      </c>
      <c r="L20" s="67"/>
      <c r="M20" s="67">
        <v>2996</v>
      </c>
      <c r="N20" s="67"/>
      <c r="O20" s="71"/>
      <c r="P20" s="67">
        <v>1255.3</v>
      </c>
      <c r="Q20" s="71">
        <v>201.6</v>
      </c>
      <c r="R20" s="67">
        <v>626.2</v>
      </c>
      <c r="S20" s="72">
        <v>328.9</v>
      </c>
      <c r="T20" s="72">
        <v>234.8</v>
      </c>
      <c r="U20" s="72">
        <v>120.3</v>
      </c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13528.8</v>
      </c>
      <c r="AG20" s="72">
        <f t="shared" si="3"/>
        <v>5422.0999999999985</v>
      </c>
    </row>
    <row r="21" spans="1:33" ht="15.75">
      <c r="A21" s="3" t="s">
        <v>16</v>
      </c>
      <c r="B21" s="72">
        <v>974.8</v>
      </c>
      <c r="C21" s="109">
        <v>95.50000000000023</v>
      </c>
      <c r="D21" s="67"/>
      <c r="E21" s="67"/>
      <c r="F21" s="67"/>
      <c r="G21" s="67"/>
      <c r="H21" s="67">
        <v>10.6</v>
      </c>
      <c r="I21" s="67"/>
      <c r="J21" s="72"/>
      <c r="K21" s="67">
        <v>19</v>
      </c>
      <c r="L21" s="67"/>
      <c r="M21" s="67">
        <f>325.9+10.6</f>
        <v>336.5</v>
      </c>
      <c r="N21" s="67"/>
      <c r="O21" s="71"/>
      <c r="P21" s="67">
        <v>160.6</v>
      </c>
      <c r="Q21" s="71"/>
      <c r="R21" s="67">
        <v>453.5</v>
      </c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980.2</v>
      </c>
      <c r="AG21" s="72">
        <f t="shared" si="3"/>
        <v>90.10000000000014</v>
      </c>
    </row>
    <row r="22" spans="1:33" ht="15.7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72">
        <f aca="true" t="shared" si="4" ref="B23:AD23">B15-B17-B18-B19-B20-B21-B22</f>
        <v>4642.500000000007</v>
      </c>
      <c r="C23" s="109">
        <f t="shared" si="4"/>
        <v>2778.100000000013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42.10000000000001</v>
      </c>
      <c r="H23" s="67">
        <f t="shared" si="4"/>
        <v>18.799999999999635</v>
      </c>
      <c r="I23" s="67">
        <f t="shared" si="4"/>
        <v>0</v>
      </c>
      <c r="J23" s="67">
        <f t="shared" si="4"/>
        <v>380.2999999999972</v>
      </c>
      <c r="K23" s="67">
        <f t="shared" si="4"/>
        <v>0</v>
      </c>
      <c r="L23" s="67">
        <f t="shared" si="4"/>
        <v>0</v>
      </c>
      <c r="M23" s="67">
        <f t="shared" si="4"/>
        <v>216</v>
      </c>
      <c r="N23" s="67">
        <f t="shared" si="4"/>
        <v>0</v>
      </c>
      <c r="O23" s="67">
        <f t="shared" si="4"/>
        <v>34.1</v>
      </c>
      <c r="P23" s="67">
        <f t="shared" si="4"/>
        <v>4.400000000000233</v>
      </c>
      <c r="Q23" s="67">
        <f t="shared" si="4"/>
        <v>325.69999999999993</v>
      </c>
      <c r="R23" s="67">
        <f t="shared" si="4"/>
        <v>64.20000000000005</v>
      </c>
      <c r="S23" s="67">
        <f t="shared" si="4"/>
        <v>14.200000000001467</v>
      </c>
      <c r="T23" s="67">
        <f t="shared" si="4"/>
        <v>149.29999999999984</v>
      </c>
      <c r="U23" s="67">
        <f t="shared" si="4"/>
        <v>8.299999999999997</v>
      </c>
      <c r="V23" s="67">
        <f t="shared" si="4"/>
        <v>1.4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1258.7999999999986</v>
      </c>
      <c r="AG23" s="72">
        <f t="shared" si="3"/>
        <v>6161.800000000022</v>
      </c>
    </row>
    <row r="24" spans="1:35" ht="15" customHeight="1">
      <c r="A24" s="4" t="s">
        <v>7</v>
      </c>
      <c r="B24" s="72">
        <v>37081.2</v>
      </c>
      <c r="C24" s="109">
        <v>10082.8</v>
      </c>
      <c r="D24" s="67"/>
      <c r="E24" s="67">
        <v>1487.6</v>
      </c>
      <c r="F24" s="67">
        <v>379</v>
      </c>
      <c r="G24" s="67"/>
      <c r="H24" s="67"/>
      <c r="I24" s="67">
        <f>1470.9+624.4</f>
        <v>2095.3</v>
      </c>
      <c r="J24" s="72">
        <f>750+10164.8</f>
        <v>10914.8</v>
      </c>
      <c r="K24" s="67">
        <f>983.2+582.4</f>
        <v>1565.6</v>
      </c>
      <c r="L24" s="67">
        <f>2406.6+578</f>
        <v>2984.6</v>
      </c>
      <c r="M24" s="67">
        <v>0.5</v>
      </c>
      <c r="N24" s="67"/>
      <c r="O24" s="71"/>
      <c r="P24" s="67">
        <v>199.4</v>
      </c>
      <c r="Q24" s="71"/>
      <c r="R24" s="71">
        <f>936.3+5254.6</f>
        <v>6190.900000000001</v>
      </c>
      <c r="S24" s="72">
        <v>11779.3</v>
      </c>
      <c r="T24" s="72">
        <v>9</v>
      </c>
      <c r="U24" s="72">
        <f>0.3-270</f>
        <v>-269.7</v>
      </c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37336.3</v>
      </c>
      <c r="AG24" s="72">
        <f t="shared" si="3"/>
        <v>9827.699999999997</v>
      </c>
      <c r="AI24" s="86"/>
    </row>
    <row r="25" spans="1:34" s="53" customFormat="1" ht="15" customHeight="1">
      <c r="A25" s="51" t="s">
        <v>39</v>
      </c>
      <c r="B25" s="76">
        <v>22002.9</v>
      </c>
      <c r="C25" s="114">
        <v>55.10000000000218</v>
      </c>
      <c r="D25" s="75"/>
      <c r="E25" s="75">
        <v>1487.6</v>
      </c>
      <c r="F25" s="75">
        <v>379</v>
      </c>
      <c r="G25" s="75"/>
      <c r="H25" s="75"/>
      <c r="I25" s="75">
        <v>624.4</v>
      </c>
      <c r="J25" s="76">
        <v>10164.8</v>
      </c>
      <c r="K25" s="75">
        <v>582.4</v>
      </c>
      <c r="L25" s="75">
        <v>578</v>
      </c>
      <c r="M25" s="75">
        <v>0.5</v>
      </c>
      <c r="N25" s="75"/>
      <c r="O25" s="77"/>
      <c r="P25" s="75">
        <v>199.4</v>
      </c>
      <c r="Q25" s="77"/>
      <c r="R25" s="77">
        <v>5254.6</v>
      </c>
      <c r="S25" s="76">
        <v>705.2</v>
      </c>
      <c r="T25" s="76"/>
      <c r="U25" s="76">
        <v>0.3</v>
      </c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19976.199999999997</v>
      </c>
      <c r="AG25" s="115">
        <f t="shared" si="3"/>
        <v>2081.8000000000065</v>
      </c>
      <c r="AH25" s="57"/>
    </row>
    <row r="26" spans="1:34" ht="15.7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37081.2</v>
      </c>
      <c r="C32" s="109">
        <f aca="true" t="shared" si="5" ref="C32:AD32">C24-C26-C27-C28-C29-C30-C31</f>
        <v>10082.8</v>
      </c>
      <c r="D32" s="67">
        <f t="shared" si="5"/>
        <v>0</v>
      </c>
      <c r="E32" s="67">
        <f t="shared" si="5"/>
        <v>1487.6</v>
      </c>
      <c r="F32" s="67">
        <f t="shared" si="5"/>
        <v>379</v>
      </c>
      <c r="G32" s="67">
        <f t="shared" si="5"/>
        <v>0</v>
      </c>
      <c r="H32" s="67">
        <f t="shared" si="5"/>
        <v>0</v>
      </c>
      <c r="I32" s="67">
        <f t="shared" si="5"/>
        <v>2095.3</v>
      </c>
      <c r="J32" s="67">
        <f t="shared" si="5"/>
        <v>10914.8</v>
      </c>
      <c r="K32" s="67">
        <f t="shared" si="5"/>
        <v>1565.6</v>
      </c>
      <c r="L32" s="67">
        <f t="shared" si="5"/>
        <v>2984.6</v>
      </c>
      <c r="M32" s="67">
        <f t="shared" si="5"/>
        <v>0.5</v>
      </c>
      <c r="N32" s="67">
        <f t="shared" si="5"/>
        <v>0</v>
      </c>
      <c r="O32" s="67">
        <f t="shared" si="5"/>
        <v>0</v>
      </c>
      <c r="P32" s="67">
        <f t="shared" si="5"/>
        <v>199.4</v>
      </c>
      <c r="Q32" s="67">
        <f t="shared" si="5"/>
        <v>0</v>
      </c>
      <c r="R32" s="67">
        <f t="shared" si="5"/>
        <v>6190.900000000001</v>
      </c>
      <c r="S32" s="67">
        <f t="shared" si="5"/>
        <v>11779.3</v>
      </c>
      <c r="T32" s="67">
        <f t="shared" si="5"/>
        <v>9</v>
      </c>
      <c r="U32" s="67">
        <f t="shared" si="5"/>
        <v>-269.7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37336.3</v>
      </c>
      <c r="AG32" s="72">
        <f>AG24</f>
        <v>9827.699999999997</v>
      </c>
    </row>
    <row r="33" spans="1:33" ht="15" customHeight="1">
      <c r="A33" s="4" t="s">
        <v>8</v>
      </c>
      <c r="B33" s="72">
        <v>340</v>
      </c>
      <c r="C33" s="109">
        <v>85.1</v>
      </c>
      <c r="D33" s="67"/>
      <c r="E33" s="67"/>
      <c r="F33" s="67"/>
      <c r="G33" s="67"/>
      <c r="H33" s="67"/>
      <c r="I33" s="67">
        <v>19</v>
      </c>
      <c r="J33" s="72">
        <v>38.3</v>
      </c>
      <c r="K33" s="67">
        <v>85.7</v>
      </c>
      <c r="L33" s="67"/>
      <c r="M33" s="67"/>
      <c r="N33" s="67"/>
      <c r="O33" s="71"/>
      <c r="P33" s="67">
        <v>1.2</v>
      </c>
      <c r="Q33" s="71">
        <v>4.7</v>
      </c>
      <c r="R33" s="67"/>
      <c r="S33" s="72">
        <v>89.8</v>
      </c>
      <c r="T33" s="72">
        <v>79.1</v>
      </c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317.79999999999995</v>
      </c>
      <c r="AG33" s="72">
        <f aca="true" t="shared" si="6" ref="AG33:AG38">B33+C33-AF33</f>
        <v>107.30000000000007</v>
      </c>
    </row>
    <row r="34" spans="1:33" ht="15.75">
      <c r="A34" s="3" t="s">
        <v>5</v>
      </c>
      <c r="B34" s="72">
        <v>256</v>
      </c>
      <c r="C34" s="109">
        <v>14.599999999999966</v>
      </c>
      <c r="D34" s="67"/>
      <c r="E34" s="67"/>
      <c r="F34" s="67"/>
      <c r="G34" s="67"/>
      <c r="H34" s="67"/>
      <c r="I34" s="67"/>
      <c r="J34" s="72">
        <v>38.3</v>
      </c>
      <c r="K34" s="67">
        <v>30.7</v>
      </c>
      <c r="L34" s="67"/>
      <c r="M34" s="67"/>
      <c r="N34" s="67"/>
      <c r="O34" s="67"/>
      <c r="P34" s="67"/>
      <c r="Q34" s="71"/>
      <c r="R34" s="67"/>
      <c r="S34" s="72">
        <v>89.8</v>
      </c>
      <c r="T34" s="72">
        <v>79.1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237.9</v>
      </c>
      <c r="AG34" s="72">
        <f t="shared" si="6"/>
        <v>32.69999999999996</v>
      </c>
    </row>
    <row r="35" spans="1:33" ht="15.7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111">
        <v>54.4</v>
      </c>
      <c r="C36" s="109">
        <v>44.89999999999999</v>
      </c>
      <c r="D36" s="67"/>
      <c r="E36" s="67"/>
      <c r="F36" s="67"/>
      <c r="G36" s="67"/>
      <c r="H36" s="67"/>
      <c r="I36" s="67"/>
      <c r="J36" s="72"/>
      <c r="K36" s="67">
        <v>50.2</v>
      </c>
      <c r="L36" s="67"/>
      <c r="M36" s="67"/>
      <c r="N36" s="72"/>
      <c r="O36" s="71"/>
      <c r="P36" s="67"/>
      <c r="Q36" s="71">
        <v>3.5</v>
      </c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53.7</v>
      </c>
      <c r="AG36" s="72">
        <f t="shared" si="6"/>
        <v>45.59999999999998</v>
      </c>
    </row>
    <row r="37" spans="1:33" ht="15.75">
      <c r="A37" s="3" t="s">
        <v>16</v>
      </c>
      <c r="B37" s="72">
        <v>0</v>
      </c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29.6</v>
      </c>
      <c r="C39" s="109">
        <f t="shared" si="7"/>
        <v>25.600000000000037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19</v>
      </c>
      <c r="J39" s="67">
        <f t="shared" si="7"/>
        <v>0</v>
      </c>
      <c r="K39" s="67">
        <f t="shared" si="7"/>
        <v>4.799999999999997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1.2</v>
      </c>
      <c r="Q39" s="67">
        <f t="shared" si="7"/>
        <v>1.2000000000000002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26.199999999999996</v>
      </c>
      <c r="AG39" s="72">
        <f>AG33-AG34-AG36-AG38-AG35-AG37</f>
        <v>29.000000000000128</v>
      </c>
    </row>
    <row r="40" spans="1:33" ht="15" customHeight="1">
      <c r="A40" s="4" t="s">
        <v>29</v>
      </c>
      <c r="B40" s="72">
        <v>1246.7</v>
      </c>
      <c r="C40" s="109">
        <v>165.29999999999995</v>
      </c>
      <c r="D40" s="67"/>
      <c r="E40" s="67"/>
      <c r="F40" s="67"/>
      <c r="G40" s="67"/>
      <c r="H40" s="67">
        <v>78.3</v>
      </c>
      <c r="I40" s="67"/>
      <c r="J40" s="72"/>
      <c r="K40" s="67">
        <v>327.4</v>
      </c>
      <c r="L40" s="67"/>
      <c r="M40" s="67"/>
      <c r="N40" s="67"/>
      <c r="O40" s="71"/>
      <c r="P40" s="67"/>
      <c r="Q40" s="71"/>
      <c r="R40" s="71">
        <v>13.5</v>
      </c>
      <c r="S40" s="72"/>
      <c r="T40" s="72">
        <v>670.2</v>
      </c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1089.4</v>
      </c>
      <c r="AG40" s="72">
        <f aca="true" t="shared" si="8" ref="AG40:AG45">B40+C40-AF40</f>
        <v>322.5999999999999</v>
      </c>
    </row>
    <row r="41" spans="1:34" ht="15.75">
      <c r="A41" s="3" t="s">
        <v>5</v>
      </c>
      <c r="B41" s="72">
        <v>1056.3</v>
      </c>
      <c r="C41" s="109">
        <v>45.799999999999955</v>
      </c>
      <c r="D41" s="67"/>
      <c r="E41" s="67"/>
      <c r="F41" s="67"/>
      <c r="G41" s="67"/>
      <c r="H41" s="67"/>
      <c r="I41" s="67"/>
      <c r="J41" s="72"/>
      <c r="K41" s="67">
        <v>319.2</v>
      </c>
      <c r="L41" s="67"/>
      <c r="M41" s="67"/>
      <c r="N41" s="67"/>
      <c r="O41" s="71"/>
      <c r="P41" s="67"/>
      <c r="Q41" s="67"/>
      <c r="R41" s="67"/>
      <c r="S41" s="72"/>
      <c r="T41" s="72">
        <v>661.7</v>
      </c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980.9000000000001</v>
      </c>
      <c r="AG41" s="72">
        <f t="shared" si="8"/>
        <v>121.19999999999982</v>
      </c>
      <c r="AH41" s="6"/>
    </row>
    <row r="42" spans="1:33" ht="15.75" hidden="1">
      <c r="A42" s="3" t="s">
        <v>3</v>
      </c>
      <c r="B42" s="72"/>
      <c r="C42" s="109">
        <v>0.8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.75">
      <c r="A43" s="3" t="s">
        <v>1</v>
      </c>
      <c r="B43" s="72">
        <v>10.1</v>
      </c>
      <c r="C43" s="109">
        <v>7.9</v>
      </c>
      <c r="D43" s="67"/>
      <c r="E43" s="67"/>
      <c r="F43" s="67"/>
      <c r="G43" s="67"/>
      <c r="H43" s="67"/>
      <c r="I43" s="67"/>
      <c r="J43" s="72"/>
      <c r="K43" s="67">
        <v>6.5</v>
      </c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6.5</v>
      </c>
      <c r="AG43" s="72">
        <f t="shared" si="8"/>
        <v>11.5</v>
      </c>
    </row>
    <row r="44" spans="1:33" ht="15.75">
      <c r="A44" s="3" t="s">
        <v>2</v>
      </c>
      <c r="B44" s="72">
        <v>150.5</v>
      </c>
      <c r="C44" s="109">
        <v>87.69999999999999</v>
      </c>
      <c r="D44" s="67"/>
      <c r="E44" s="67"/>
      <c r="F44" s="67"/>
      <c r="G44" s="67"/>
      <c r="H44" s="67">
        <v>49.5</v>
      </c>
      <c r="I44" s="67"/>
      <c r="J44" s="72"/>
      <c r="K44" s="67"/>
      <c r="L44" s="67"/>
      <c r="M44" s="67"/>
      <c r="N44" s="67"/>
      <c r="O44" s="71"/>
      <c r="P44" s="67"/>
      <c r="Q44" s="67"/>
      <c r="R44" s="67">
        <v>2.4</v>
      </c>
      <c r="S44" s="72"/>
      <c r="T44" s="72">
        <v>7.9</v>
      </c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59.8</v>
      </c>
      <c r="AG44" s="72">
        <f t="shared" si="8"/>
        <v>178.39999999999998</v>
      </c>
    </row>
    <row r="45" spans="1:33" ht="15.7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29.800000000000097</v>
      </c>
      <c r="C46" s="109">
        <f t="shared" si="9"/>
        <v>23.10000000000001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28.799999999999997</v>
      </c>
      <c r="I46" s="67">
        <f t="shared" si="9"/>
        <v>0</v>
      </c>
      <c r="J46" s="67">
        <f t="shared" si="9"/>
        <v>0</v>
      </c>
      <c r="K46" s="67">
        <f t="shared" si="9"/>
        <v>1.6999999999999886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11.1</v>
      </c>
      <c r="S46" s="67">
        <f t="shared" si="9"/>
        <v>0</v>
      </c>
      <c r="T46" s="67">
        <f t="shared" si="9"/>
        <v>0.5999999999999996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42.19999999999999</v>
      </c>
      <c r="AG46" s="72">
        <f>AG40-AG41-AG42-AG43-AG44-AG45</f>
        <v>10.700000000000102</v>
      </c>
    </row>
    <row r="47" spans="1:33" ht="17.25" customHeight="1">
      <c r="A47" s="4" t="s">
        <v>43</v>
      </c>
      <c r="B47" s="70">
        <f>1371-9.3</f>
        <v>1361.7</v>
      </c>
      <c r="C47" s="109">
        <v>920.8</v>
      </c>
      <c r="D47" s="67"/>
      <c r="E47" s="79">
        <v>288</v>
      </c>
      <c r="F47" s="79">
        <v>14</v>
      </c>
      <c r="G47" s="79">
        <v>143.3</v>
      </c>
      <c r="H47" s="79">
        <v>300.5</v>
      </c>
      <c r="I47" s="79"/>
      <c r="J47" s="80"/>
      <c r="K47" s="79">
        <v>112.9</v>
      </c>
      <c r="L47" s="79">
        <v>1.3</v>
      </c>
      <c r="M47" s="79">
        <v>105.1</v>
      </c>
      <c r="N47" s="79"/>
      <c r="O47" s="81">
        <v>102.9</v>
      </c>
      <c r="P47" s="79">
        <v>152.8</v>
      </c>
      <c r="Q47" s="79"/>
      <c r="R47" s="79">
        <v>111.4</v>
      </c>
      <c r="S47" s="80">
        <v>9</v>
      </c>
      <c r="T47" s="80">
        <v>27.7</v>
      </c>
      <c r="U47" s="79">
        <v>4.2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1373.1000000000001</v>
      </c>
      <c r="AG47" s="72">
        <f>B47+C47-AF47</f>
        <v>909.3999999999999</v>
      </c>
    </row>
    <row r="48" spans="1:33" ht="15.75">
      <c r="A48" s="3" t="s">
        <v>5</v>
      </c>
      <c r="B48" s="72">
        <v>36.4</v>
      </c>
      <c r="C48" s="109">
        <v>36.4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72.8</v>
      </c>
    </row>
    <row r="49" spans="1:33" ht="15.75">
      <c r="A49" s="3" t="s">
        <v>16</v>
      </c>
      <c r="B49" s="72">
        <f>1095.8-9.3</f>
        <v>1086.5</v>
      </c>
      <c r="C49" s="109">
        <v>669.2000000000003</v>
      </c>
      <c r="D49" s="67"/>
      <c r="E49" s="67">
        <v>288</v>
      </c>
      <c r="F49" s="67">
        <v>14</v>
      </c>
      <c r="G49" s="67">
        <v>143.1</v>
      </c>
      <c r="H49" s="67">
        <v>279.2</v>
      </c>
      <c r="I49" s="67"/>
      <c r="J49" s="72"/>
      <c r="K49" s="67">
        <v>72.1</v>
      </c>
      <c r="L49" s="67"/>
      <c r="M49" s="67">
        <v>105.1</v>
      </c>
      <c r="N49" s="67"/>
      <c r="O49" s="71">
        <v>85.1</v>
      </c>
      <c r="P49" s="67">
        <v>152.8</v>
      </c>
      <c r="Q49" s="67"/>
      <c r="R49" s="67">
        <v>111.4</v>
      </c>
      <c r="S49" s="72"/>
      <c r="T49" s="72"/>
      <c r="U49" s="67">
        <v>4.2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1255.0000000000002</v>
      </c>
      <c r="AG49" s="72">
        <f>B49+C49-AF49</f>
        <v>500.70000000000005</v>
      </c>
    </row>
    <row r="50" spans="1:33" ht="30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 aca="true" t="shared" si="10" ref="B51:AD51">B47-B48-B49</f>
        <v>238.79999999999995</v>
      </c>
      <c r="C51" s="109">
        <f t="shared" si="10"/>
        <v>215.1999999999997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0.20000000000001705</v>
      </c>
      <c r="H51" s="67">
        <f t="shared" si="10"/>
        <v>21.30000000000001</v>
      </c>
      <c r="I51" s="67">
        <f t="shared" si="10"/>
        <v>0</v>
      </c>
      <c r="J51" s="67">
        <f t="shared" si="10"/>
        <v>0</v>
      </c>
      <c r="K51" s="67">
        <f t="shared" si="10"/>
        <v>40.80000000000001</v>
      </c>
      <c r="L51" s="67">
        <f t="shared" si="10"/>
        <v>1.3</v>
      </c>
      <c r="M51" s="67">
        <f t="shared" si="10"/>
        <v>0</v>
      </c>
      <c r="N51" s="67">
        <f t="shared" si="10"/>
        <v>0</v>
      </c>
      <c r="O51" s="67">
        <f t="shared" si="10"/>
        <v>17.80000000000001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9</v>
      </c>
      <c r="T51" s="67">
        <f t="shared" si="10"/>
        <v>27.7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118.10000000000005</v>
      </c>
      <c r="AG51" s="72">
        <f>AG47-AG49-AG48</f>
        <v>335.8999999999998</v>
      </c>
    </row>
    <row r="52" spans="1:33" ht="15" customHeight="1">
      <c r="A52" s="4" t="s">
        <v>0</v>
      </c>
      <c r="B52" s="72">
        <f>5441.2-346.5-1000-74.2</f>
        <v>4020.5</v>
      </c>
      <c r="C52" s="109">
        <v>4780.65</v>
      </c>
      <c r="D52" s="67"/>
      <c r="E52" s="67"/>
      <c r="F52" s="67">
        <v>1271.9</v>
      </c>
      <c r="G52" s="67">
        <v>55.2</v>
      </c>
      <c r="H52" s="67"/>
      <c r="I52" s="67"/>
      <c r="J52" s="72">
        <v>440.2</v>
      </c>
      <c r="K52" s="67"/>
      <c r="L52" s="67"/>
      <c r="M52" s="67">
        <v>48.6</v>
      </c>
      <c r="N52" s="67">
        <v>182.4</v>
      </c>
      <c r="O52" s="71"/>
      <c r="P52" s="67">
        <v>14</v>
      </c>
      <c r="Q52" s="67">
        <v>90.9</v>
      </c>
      <c r="R52" s="67"/>
      <c r="S52" s="72">
        <f>398.5-47.7</f>
        <v>350.8</v>
      </c>
      <c r="T52" s="72">
        <v>315.3</v>
      </c>
      <c r="U52" s="72">
        <v>126.1</v>
      </c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2895.4000000000005</v>
      </c>
      <c r="AG52" s="72">
        <f aca="true" t="shared" si="11" ref="AG52:AG59">B52+C52-AF52</f>
        <v>5905.749999999999</v>
      </c>
    </row>
    <row r="53" spans="1:33" ht="15" customHeight="1">
      <c r="A53" s="3" t="s">
        <v>2</v>
      </c>
      <c r="B53" s="72">
        <v>936.2</v>
      </c>
      <c r="C53" s="109">
        <v>1212.9999999999998</v>
      </c>
      <c r="D53" s="67"/>
      <c r="E53" s="67"/>
      <c r="F53" s="67">
        <v>939.3</v>
      </c>
      <c r="G53" s="67"/>
      <c r="H53" s="67"/>
      <c r="I53" s="67"/>
      <c r="J53" s="72"/>
      <c r="K53" s="67"/>
      <c r="L53" s="67"/>
      <c r="M53" s="67">
        <v>4.2</v>
      </c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943.5</v>
      </c>
      <c r="AG53" s="72">
        <f t="shared" si="11"/>
        <v>1205.6999999999998</v>
      </c>
    </row>
    <row r="54" spans="1:34" ht="15" customHeight="1">
      <c r="A54" s="4" t="s">
        <v>9</v>
      </c>
      <c r="B54" s="111">
        <v>2189.6</v>
      </c>
      <c r="C54" s="109">
        <v>1524.0000000000005</v>
      </c>
      <c r="D54" s="67"/>
      <c r="E54" s="67">
        <v>146.1</v>
      </c>
      <c r="F54" s="67"/>
      <c r="G54" s="67">
        <v>99.2</v>
      </c>
      <c r="H54" s="67">
        <v>229.7</v>
      </c>
      <c r="I54" s="67"/>
      <c r="J54" s="72">
        <v>391.3</v>
      </c>
      <c r="K54" s="67">
        <v>99.3</v>
      </c>
      <c r="L54" s="67">
        <v>10.1</v>
      </c>
      <c r="M54" s="67"/>
      <c r="N54" s="67">
        <v>208.5</v>
      </c>
      <c r="O54" s="71">
        <v>7.9</v>
      </c>
      <c r="P54" s="67">
        <v>36.6</v>
      </c>
      <c r="Q54" s="71"/>
      <c r="R54" s="67">
        <v>46.5</v>
      </c>
      <c r="S54" s="72">
        <f>37.2-7.8</f>
        <v>29.400000000000002</v>
      </c>
      <c r="T54" s="72">
        <v>517.8</v>
      </c>
      <c r="U54" s="72">
        <v>32.8</v>
      </c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1855.1999999999998</v>
      </c>
      <c r="AG54" s="72">
        <f t="shared" si="11"/>
        <v>1858.4000000000005</v>
      </c>
      <c r="AH54" s="6"/>
    </row>
    <row r="55" spans="1:34" ht="15.75">
      <c r="A55" s="3" t="s">
        <v>5</v>
      </c>
      <c r="B55" s="72">
        <v>1070.1</v>
      </c>
      <c r="C55" s="109">
        <v>177.5999999999999</v>
      </c>
      <c r="D55" s="67"/>
      <c r="E55" s="67"/>
      <c r="F55" s="67"/>
      <c r="G55" s="67"/>
      <c r="H55" s="67">
        <v>63</v>
      </c>
      <c r="I55" s="67"/>
      <c r="J55" s="72">
        <v>391.3</v>
      </c>
      <c r="K55" s="67"/>
      <c r="L55" s="67"/>
      <c r="M55" s="67"/>
      <c r="N55" s="67"/>
      <c r="O55" s="71"/>
      <c r="P55" s="67"/>
      <c r="Q55" s="71"/>
      <c r="R55" s="67"/>
      <c r="S55" s="72"/>
      <c r="T55" s="72">
        <v>512.8</v>
      </c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967.0999999999999</v>
      </c>
      <c r="AG55" s="72">
        <f t="shared" si="11"/>
        <v>280.5999999999999</v>
      </c>
      <c r="AH55" s="6"/>
    </row>
    <row r="56" spans="1:34" ht="15" customHeight="1">
      <c r="A56" s="3" t="s">
        <v>1</v>
      </c>
      <c r="B56" s="72">
        <v>20.3</v>
      </c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>
        <v>8.7</v>
      </c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8.7</v>
      </c>
      <c r="AG56" s="72">
        <f t="shared" si="11"/>
        <v>11.600000000000001</v>
      </c>
      <c r="AH56" s="6"/>
    </row>
    <row r="57" spans="1:33" ht="15.75">
      <c r="A57" s="3" t="s">
        <v>2</v>
      </c>
      <c r="B57" s="70">
        <v>248.8</v>
      </c>
      <c r="C57" s="109">
        <f>362.9+0.8</f>
        <v>363.7</v>
      </c>
      <c r="D57" s="67"/>
      <c r="E57" s="67"/>
      <c r="F57" s="67"/>
      <c r="G57" s="67">
        <v>11.3</v>
      </c>
      <c r="H57" s="67">
        <v>166.1</v>
      </c>
      <c r="I57" s="67"/>
      <c r="J57" s="72"/>
      <c r="K57" s="67"/>
      <c r="L57" s="67">
        <v>3.8</v>
      </c>
      <c r="M57" s="67"/>
      <c r="N57" s="67">
        <v>5.1</v>
      </c>
      <c r="O57" s="71"/>
      <c r="P57" s="67"/>
      <c r="Q57" s="71"/>
      <c r="R57" s="67">
        <v>2.9</v>
      </c>
      <c r="S57" s="72">
        <v>0.2</v>
      </c>
      <c r="T57" s="72">
        <v>0.5</v>
      </c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189.9</v>
      </c>
      <c r="AG57" s="72">
        <f t="shared" si="11"/>
        <v>422.6</v>
      </c>
    </row>
    <row r="58" spans="1:33" ht="15.7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/>
      <c r="I58" s="67"/>
      <c r="J58" s="72"/>
      <c r="K58" s="67"/>
      <c r="L58" s="67">
        <v>5.1</v>
      </c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0</v>
      </c>
    </row>
    <row r="59" spans="1:33" ht="15.7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845.3000000000001</v>
      </c>
      <c r="C60" s="109">
        <f t="shared" si="12"/>
        <v>982.7000000000005</v>
      </c>
      <c r="D60" s="67">
        <f t="shared" si="12"/>
        <v>0</v>
      </c>
      <c r="E60" s="67">
        <f>E54-E55-E57-E59-E56-E58</f>
        <v>146.1</v>
      </c>
      <c r="F60" s="67">
        <f t="shared" si="12"/>
        <v>0</v>
      </c>
      <c r="G60" s="67">
        <f t="shared" si="12"/>
        <v>87.9</v>
      </c>
      <c r="H60" s="67">
        <f t="shared" si="12"/>
        <v>0.5999999999999943</v>
      </c>
      <c r="I60" s="67">
        <f t="shared" si="12"/>
        <v>0</v>
      </c>
      <c r="J60" s="67">
        <f t="shared" si="12"/>
        <v>0</v>
      </c>
      <c r="K60" s="67">
        <f t="shared" si="12"/>
        <v>99.3</v>
      </c>
      <c r="L60" s="67">
        <f t="shared" si="12"/>
        <v>1.2000000000000002</v>
      </c>
      <c r="M60" s="67">
        <f t="shared" si="12"/>
        <v>0</v>
      </c>
      <c r="N60" s="67">
        <f t="shared" si="12"/>
        <v>203.4</v>
      </c>
      <c r="O60" s="67">
        <f t="shared" si="12"/>
        <v>7.9</v>
      </c>
      <c r="P60" s="67">
        <f t="shared" si="12"/>
        <v>27.900000000000002</v>
      </c>
      <c r="Q60" s="67">
        <f t="shared" si="12"/>
        <v>0</v>
      </c>
      <c r="R60" s="67">
        <f t="shared" si="12"/>
        <v>43.6</v>
      </c>
      <c r="S60" s="67">
        <f t="shared" si="12"/>
        <v>29.200000000000003</v>
      </c>
      <c r="T60" s="67">
        <f t="shared" si="12"/>
        <v>4.5</v>
      </c>
      <c r="U60" s="67">
        <f t="shared" si="12"/>
        <v>32.8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684.3999999999999</v>
      </c>
      <c r="AG60" s="72">
        <f>AG54-AG55-AG57-AG59-AG56-AG58</f>
        <v>1143.6000000000008</v>
      </c>
    </row>
    <row r="61" spans="1:33" ht="15" customHeight="1">
      <c r="A61" s="4" t="s">
        <v>10</v>
      </c>
      <c r="B61" s="72">
        <f>48+87</f>
        <v>135</v>
      </c>
      <c r="C61" s="109">
        <v>479.8</v>
      </c>
      <c r="D61" s="67"/>
      <c r="E61" s="67"/>
      <c r="F61" s="67"/>
      <c r="G61" s="67"/>
      <c r="H61" s="67"/>
      <c r="I61" s="67"/>
      <c r="J61" s="72"/>
      <c r="K61" s="67"/>
      <c r="L61" s="67">
        <v>48</v>
      </c>
      <c r="M61" s="67"/>
      <c r="N61" s="67">
        <v>6.7</v>
      </c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54.7</v>
      </c>
      <c r="AG61" s="72">
        <f aca="true" t="shared" si="14" ref="AG61:AG67">B61+C61-AF61</f>
        <v>560.0999999999999</v>
      </c>
    </row>
    <row r="62" spans="1:33" s="18" customFormat="1" ht="15" customHeight="1">
      <c r="A62" s="108" t="s">
        <v>11</v>
      </c>
      <c r="B62" s="72">
        <v>2922.5</v>
      </c>
      <c r="C62" s="109">
        <v>763</v>
      </c>
      <c r="D62" s="72"/>
      <c r="E62" s="72"/>
      <c r="F62" s="72">
        <v>235.3</v>
      </c>
      <c r="G62" s="72">
        <v>35.5</v>
      </c>
      <c r="H62" s="72"/>
      <c r="I62" s="72">
        <v>146.1</v>
      </c>
      <c r="J62" s="72">
        <v>691</v>
      </c>
      <c r="K62" s="72">
        <v>107.9</v>
      </c>
      <c r="L62" s="72"/>
      <c r="M62" s="72">
        <v>33.3</v>
      </c>
      <c r="N62" s="72"/>
      <c r="O62" s="72">
        <v>238</v>
      </c>
      <c r="P62" s="72">
        <v>37.7</v>
      </c>
      <c r="Q62" s="72">
        <v>71</v>
      </c>
      <c r="R62" s="72">
        <v>37.8</v>
      </c>
      <c r="S62" s="72">
        <v>19.8</v>
      </c>
      <c r="T62" s="72">
        <v>902.5</v>
      </c>
      <c r="U62" s="72">
        <v>194.8</v>
      </c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2750.7000000000003</v>
      </c>
      <c r="AG62" s="72">
        <f t="shared" si="14"/>
        <v>934.7999999999997</v>
      </c>
    </row>
    <row r="63" spans="1:34" ht="15.75">
      <c r="A63" s="3" t="s">
        <v>5</v>
      </c>
      <c r="B63" s="72">
        <v>1585.7</v>
      </c>
      <c r="C63" s="109">
        <v>163</v>
      </c>
      <c r="D63" s="67"/>
      <c r="E63" s="67"/>
      <c r="F63" s="67"/>
      <c r="G63" s="67"/>
      <c r="H63" s="67"/>
      <c r="I63" s="67"/>
      <c r="J63" s="72">
        <v>643.1</v>
      </c>
      <c r="K63" s="67"/>
      <c r="L63" s="67"/>
      <c r="M63" s="67"/>
      <c r="N63" s="67"/>
      <c r="O63" s="71"/>
      <c r="P63" s="67"/>
      <c r="Q63" s="71"/>
      <c r="R63" s="67"/>
      <c r="S63" s="72"/>
      <c r="T63" s="72">
        <v>825.6</v>
      </c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1468.7</v>
      </c>
      <c r="AG63" s="72">
        <f t="shared" si="14"/>
        <v>280</v>
      </c>
      <c r="AH63" s="121"/>
    </row>
    <row r="64" spans="1:34" ht="15.7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150.3</v>
      </c>
      <c r="C65" s="109">
        <v>31.799999999999983</v>
      </c>
      <c r="D65" s="67"/>
      <c r="E65" s="67"/>
      <c r="F65" s="67">
        <v>43.2</v>
      </c>
      <c r="G65" s="67"/>
      <c r="H65" s="67"/>
      <c r="I65" s="67">
        <v>26.7</v>
      </c>
      <c r="J65" s="72"/>
      <c r="K65" s="67">
        <v>3.8</v>
      </c>
      <c r="L65" s="67"/>
      <c r="M65" s="67">
        <v>22.4</v>
      </c>
      <c r="N65" s="67"/>
      <c r="O65" s="71">
        <v>0.4</v>
      </c>
      <c r="P65" s="67"/>
      <c r="Q65" s="71">
        <v>59.7</v>
      </c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156.2</v>
      </c>
      <c r="AG65" s="72">
        <f t="shared" si="14"/>
        <v>25.900000000000006</v>
      </c>
      <c r="AH65" s="6"/>
    </row>
    <row r="66" spans="1:33" ht="15.75">
      <c r="A66" s="3" t="s">
        <v>2</v>
      </c>
      <c r="B66" s="72">
        <v>141.2</v>
      </c>
      <c r="C66" s="109">
        <v>72.6</v>
      </c>
      <c r="D66" s="67"/>
      <c r="E66" s="67"/>
      <c r="F66" s="67">
        <v>1.8</v>
      </c>
      <c r="G66" s="67"/>
      <c r="H66" s="67"/>
      <c r="I66" s="67">
        <v>16.2</v>
      </c>
      <c r="J66" s="72"/>
      <c r="K66" s="67">
        <v>18.3</v>
      </c>
      <c r="L66" s="67"/>
      <c r="M66" s="67">
        <v>3.5</v>
      </c>
      <c r="N66" s="67"/>
      <c r="O66" s="71">
        <v>0.1</v>
      </c>
      <c r="P66" s="67">
        <v>11.4</v>
      </c>
      <c r="Q66" s="67">
        <v>0.1</v>
      </c>
      <c r="R66" s="67">
        <v>11.4</v>
      </c>
      <c r="S66" s="72">
        <v>1.3</v>
      </c>
      <c r="T66" s="72">
        <v>76.9</v>
      </c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141</v>
      </c>
      <c r="AG66" s="72">
        <f t="shared" si="14"/>
        <v>72.79999999999998</v>
      </c>
    </row>
    <row r="67" spans="1:33" ht="15.75">
      <c r="A67" s="3" t="s">
        <v>16</v>
      </c>
      <c r="B67" s="72">
        <v>110</v>
      </c>
      <c r="C67" s="109">
        <v>0</v>
      </c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>
        <v>110</v>
      </c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935.3</v>
      </c>
      <c r="C68" s="109">
        <f t="shared" si="15"/>
        <v>495.6</v>
      </c>
      <c r="D68" s="67">
        <f t="shared" si="15"/>
        <v>0</v>
      </c>
      <c r="E68" s="67">
        <f t="shared" si="15"/>
        <v>0</v>
      </c>
      <c r="F68" s="67">
        <f t="shared" si="15"/>
        <v>190.3</v>
      </c>
      <c r="G68" s="67">
        <f t="shared" si="15"/>
        <v>35.5</v>
      </c>
      <c r="H68" s="67">
        <f t="shared" si="15"/>
        <v>0</v>
      </c>
      <c r="I68" s="67">
        <f t="shared" si="15"/>
        <v>103.2</v>
      </c>
      <c r="J68" s="67">
        <f t="shared" si="15"/>
        <v>47.89999999999998</v>
      </c>
      <c r="K68" s="67">
        <f t="shared" si="15"/>
        <v>85.80000000000001</v>
      </c>
      <c r="L68" s="67">
        <f t="shared" si="15"/>
        <v>0</v>
      </c>
      <c r="M68" s="67">
        <f t="shared" si="15"/>
        <v>7.399999999999999</v>
      </c>
      <c r="N68" s="67">
        <f t="shared" si="15"/>
        <v>0</v>
      </c>
      <c r="O68" s="67">
        <f t="shared" si="15"/>
        <v>127.5</v>
      </c>
      <c r="P68" s="67">
        <f t="shared" si="15"/>
        <v>26.300000000000004</v>
      </c>
      <c r="Q68" s="67">
        <f t="shared" si="15"/>
        <v>11.200000000000003</v>
      </c>
      <c r="R68" s="67">
        <f t="shared" si="15"/>
        <v>26.4</v>
      </c>
      <c r="S68" s="67">
        <f t="shared" si="15"/>
        <v>18.5</v>
      </c>
      <c r="T68" s="67">
        <f t="shared" si="15"/>
        <v>-2.842170943040401E-14</v>
      </c>
      <c r="U68" s="67">
        <f t="shared" si="15"/>
        <v>194.8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874.8</v>
      </c>
      <c r="AG68" s="72">
        <f>AG62-AG63-AG66-AG67-AG65-AG64</f>
        <v>556.0999999999998</v>
      </c>
    </row>
    <row r="69" spans="1:33" ht="31.5">
      <c r="A69" s="4" t="s">
        <v>45</v>
      </c>
      <c r="B69" s="72">
        <f>3529.6+1622.3</f>
        <v>5151.9</v>
      </c>
      <c r="C69" s="109">
        <v>152</v>
      </c>
      <c r="D69" s="67"/>
      <c r="E69" s="67"/>
      <c r="F69" s="67">
        <v>2380.2</v>
      </c>
      <c r="G69" s="67"/>
      <c r="H69" s="67"/>
      <c r="I69" s="67"/>
      <c r="J69" s="72">
        <v>1722.3</v>
      </c>
      <c r="K69" s="67"/>
      <c r="L69" s="67"/>
      <c r="M69" s="67"/>
      <c r="N69" s="67"/>
      <c r="O69" s="67"/>
      <c r="P69" s="67">
        <v>1049.4</v>
      </c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5151.9</v>
      </c>
      <c r="AG69" s="130">
        <f aca="true" t="shared" si="16" ref="AG69:AG92">B69+C69-AF69</f>
        <v>152</v>
      </c>
    </row>
    <row r="70" spans="1:33" ht="15.7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109">
        <f>1760.2+74.2</f>
        <v>1834.4</v>
      </c>
      <c r="C71" s="122">
        <v>574.55</v>
      </c>
      <c r="D71" s="79">
        <v>830.9</v>
      </c>
      <c r="E71" s="79"/>
      <c r="F71" s="79"/>
      <c r="G71" s="79"/>
      <c r="H71" s="79"/>
      <c r="I71" s="79"/>
      <c r="J71" s="80"/>
      <c r="K71" s="79"/>
      <c r="L71" s="79">
        <v>722.1</v>
      </c>
      <c r="M71" s="79"/>
      <c r="N71" s="79"/>
      <c r="O71" s="79"/>
      <c r="P71" s="79"/>
      <c r="Q71" s="81"/>
      <c r="R71" s="79"/>
      <c r="S71" s="80">
        <v>47.7</v>
      </c>
      <c r="T71" s="80">
        <v>657.8</v>
      </c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2258.5</v>
      </c>
      <c r="AG71" s="130">
        <f t="shared" si="16"/>
        <v>150.44999999999982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v>1374.9</v>
      </c>
      <c r="C72" s="109">
        <v>1304.5999999999995</v>
      </c>
      <c r="D72" s="67"/>
      <c r="E72" s="67">
        <v>136</v>
      </c>
      <c r="F72" s="67"/>
      <c r="G72" s="67"/>
      <c r="H72" s="67">
        <v>135.4</v>
      </c>
      <c r="I72" s="67"/>
      <c r="J72" s="72"/>
      <c r="K72" s="67">
        <v>19.6</v>
      </c>
      <c r="L72" s="67">
        <v>1.1</v>
      </c>
      <c r="M72" s="67">
        <v>4.2</v>
      </c>
      <c r="N72" s="67">
        <v>3.5</v>
      </c>
      <c r="O72" s="67">
        <v>3.7</v>
      </c>
      <c r="P72" s="67">
        <f>2+0.4+15</f>
        <v>17.4</v>
      </c>
      <c r="Q72" s="71">
        <v>11.7</v>
      </c>
      <c r="R72" s="67">
        <v>9.7</v>
      </c>
      <c r="S72" s="72">
        <v>135.8</v>
      </c>
      <c r="T72" s="72">
        <v>132.2</v>
      </c>
      <c r="U72" s="72">
        <v>32.9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643.1999999999999</v>
      </c>
      <c r="AG72" s="130">
        <f t="shared" si="16"/>
        <v>2036.2999999999997</v>
      </c>
    </row>
    <row r="73" spans="1:33" ht="15" customHeight="1">
      <c r="A73" s="3" t="s">
        <v>5</v>
      </c>
      <c r="B73" s="109">
        <v>45.4</v>
      </c>
      <c r="C73" s="109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>
        <v>45.4</v>
      </c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</row>
    <row r="74" spans="1:33" ht="15" customHeight="1">
      <c r="A74" s="3" t="s">
        <v>2</v>
      </c>
      <c r="B74" s="109">
        <v>302.2</v>
      </c>
      <c r="C74" s="109">
        <v>233.9000000000001</v>
      </c>
      <c r="D74" s="67"/>
      <c r="E74" s="67">
        <v>24</v>
      </c>
      <c r="F74" s="67"/>
      <c r="G74" s="67"/>
      <c r="H74" s="67">
        <f>44+91.1</f>
        <v>135.1</v>
      </c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>
        <v>1.2</v>
      </c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160.29999999999998</v>
      </c>
      <c r="AG74" s="130">
        <f t="shared" si="16"/>
        <v>375.8000000000002</v>
      </c>
    </row>
    <row r="75" spans="1:33" ht="15" customHeight="1">
      <c r="A75" s="3" t="s">
        <v>16</v>
      </c>
      <c r="B75" s="109">
        <v>20.6</v>
      </c>
      <c r="C75" s="109">
        <v>15.7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>
        <v>7.1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7.1</v>
      </c>
      <c r="AG75" s="130">
        <f t="shared" si="16"/>
        <v>29.199999999999996</v>
      </c>
    </row>
    <row r="76" spans="1:35" s="11" customFormat="1" ht="15.75">
      <c r="A76" s="12" t="s">
        <v>48</v>
      </c>
      <c r="B76" s="109">
        <v>149</v>
      </c>
      <c r="C76" s="109">
        <v>493.9000000000001</v>
      </c>
      <c r="D76" s="67"/>
      <c r="E76" s="79"/>
      <c r="F76" s="79"/>
      <c r="G76" s="79"/>
      <c r="H76" s="79"/>
      <c r="I76" s="79">
        <v>50.5</v>
      </c>
      <c r="J76" s="80"/>
      <c r="K76" s="79"/>
      <c r="L76" s="79"/>
      <c r="M76" s="79"/>
      <c r="N76" s="79"/>
      <c r="O76" s="79"/>
      <c r="P76" s="79"/>
      <c r="Q76" s="81"/>
      <c r="R76" s="79"/>
      <c r="S76" s="80">
        <v>112.6</v>
      </c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163.1</v>
      </c>
      <c r="AG76" s="130">
        <f t="shared" si="16"/>
        <v>479.80000000000007</v>
      </c>
      <c r="AI76" s="128"/>
    </row>
    <row r="77" spans="1:33" s="11" customFormat="1" ht="15.75">
      <c r="A77" s="3" t="s">
        <v>5</v>
      </c>
      <c r="B77" s="109">
        <v>111.3</v>
      </c>
      <c r="C77" s="109">
        <v>28.799999999999983</v>
      </c>
      <c r="D77" s="67"/>
      <c r="E77" s="79"/>
      <c r="F77" s="79"/>
      <c r="G77" s="79"/>
      <c r="H77" s="79"/>
      <c r="I77" s="79">
        <v>47.2</v>
      </c>
      <c r="J77" s="80"/>
      <c r="K77" s="79"/>
      <c r="L77" s="79"/>
      <c r="M77" s="79"/>
      <c r="N77" s="79"/>
      <c r="O77" s="79"/>
      <c r="P77" s="79"/>
      <c r="Q77" s="81"/>
      <c r="R77" s="79"/>
      <c r="S77" s="80">
        <v>83.8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131</v>
      </c>
      <c r="AG77" s="130">
        <f t="shared" si="16"/>
        <v>9.099999999999966</v>
      </c>
    </row>
    <row r="78" spans="1:33" s="11" customFormat="1" ht="15.7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109">
        <v>4.4</v>
      </c>
      <c r="C80" s="109">
        <v>11.200000000000001</v>
      </c>
      <c r="D80" s="67"/>
      <c r="E80" s="79"/>
      <c r="F80" s="79"/>
      <c r="G80" s="79"/>
      <c r="H80" s="79"/>
      <c r="I80" s="79">
        <v>3.3</v>
      </c>
      <c r="J80" s="80"/>
      <c r="K80" s="79"/>
      <c r="L80" s="79"/>
      <c r="M80" s="79"/>
      <c r="N80" s="79"/>
      <c r="O80" s="79"/>
      <c r="P80" s="79"/>
      <c r="Q80" s="81"/>
      <c r="R80" s="79"/>
      <c r="S80" s="80">
        <v>0.4</v>
      </c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3.6999999999999997</v>
      </c>
      <c r="AG80" s="130">
        <f t="shared" si="16"/>
        <v>11.900000000000002</v>
      </c>
    </row>
    <row r="81" spans="1:33" s="11" customFormat="1" ht="15.75">
      <c r="A81" s="12" t="s">
        <v>49</v>
      </c>
      <c r="B81" s="109">
        <v>0</v>
      </c>
      <c r="C81" s="122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</row>
    <row r="89" spans="1:35" ht="15.75">
      <c r="A89" s="4" t="s">
        <v>50</v>
      </c>
      <c r="B89" s="109">
        <f>3967.2-1122.3-89.3</f>
        <v>2755.5999999999995</v>
      </c>
      <c r="C89" s="109">
        <v>4984.1</v>
      </c>
      <c r="D89" s="67"/>
      <c r="E89" s="67"/>
      <c r="F89" s="67"/>
      <c r="G89" s="67">
        <v>566.8</v>
      </c>
      <c r="H89" s="67"/>
      <c r="I89" s="67"/>
      <c r="J89" s="67"/>
      <c r="K89" s="67">
        <v>375.2</v>
      </c>
      <c r="L89" s="67"/>
      <c r="M89" s="67"/>
      <c r="N89" s="67">
        <v>120.4</v>
      </c>
      <c r="O89" s="67"/>
      <c r="P89" s="67">
        <v>395.9</v>
      </c>
      <c r="Q89" s="67"/>
      <c r="R89" s="67">
        <v>31.6</v>
      </c>
      <c r="S89" s="72">
        <v>377</v>
      </c>
      <c r="T89" s="72">
        <v>15.9</v>
      </c>
      <c r="U89" s="67">
        <v>619.6</v>
      </c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2502.4</v>
      </c>
      <c r="AG89" s="72">
        <f t="shared" si="16"/>
        <v>5237.299999999999</v>
      </c>
      <c r="AH89" s="11"/>
      <c r="AI89" s="86"/>
    </row>
    <row r="90" spans="1:34" ht="15.75">
      <c r="A90" s="4" t="s">
        <v>51</v>
      </c>
      <c r="B90" s="109">
        <v>3519.4</v>
      </c>
      <c r="C90" s="109">
        <v>0</v>
      </c>
      <c r="D90" s="67"/>
      <c r="E90" s="67"/>
      <c r="F90" s="67"/>
      <c r="G90" s="67"/>
      <c r="H90" s="67"/>
      <c r="I90" s="67">
        <v>1173.1</v>
      </c>
      <c r="J90" s="67"/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>
        <v>1173.2</v>
      </c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72">
        <f t="shared" si="16"/>
        <v>0</v>
      </c>
      <c r="AH90" s="11"/>
    </row>
    <row r="91" spans="1:34" ht="15.75">
      <c r="A91" s="4" t="s">
        <v>25</v>
      </c>
      <c r="B91" s="109">
        <v>0</v>
      </c>
      <c r="C91" s="109"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109">
        <f>21898.8+500+89.3-200.1</f>
        <v>22288</v>
      </c>
      <c r="C92" s="109">
        <v>48329.899999999994</v>
      </c>
      <c r="D92" s="67">
        <f>914.6+10874.2</f>
        <v>11788.800000000001</v>
      </c>
      <c r="E92" s="67">
        <v>1188.7</v>
      </c>
      <c r="F92" s="67">
        <v>864.1</v>
      </c>
      <c r="G92" s="67">
        <v>301.6</v>
      </c>
      <c r="H92" s="67"/>
      <c r="I92" s="67">
        <v>376.8</v>
      </c>
      <c r="J92" s="67">
        <v>206.4</v>
      </c>
      <c r="K92" s="67">
        <v>1075.1</v>
      </c>
      <c r="L92" s="67">
        <v>354</v>
      </c>
      <c r="M92" s="67"/>
      <c r="N92" s="67">
        <v>2650.4</v>
      </c>
      <c r="O92" s="67">
        <v>1522.6</v>
      </c>
      <c r="P92" s="67">
        <v>53.5</v>
      </c>
      <c r="Q92" s="67">
        <v>786.8</v>
      </c>
      <c r="R92" s="67">
        <v>81.3</v>
      </c>
      <c r="S92" s="72"/>
      <c r="T92" s="72"/>
      <c r="U92" s="67">
        <f>1054.7+490</f>
        <v>1544.7</v>
      </c>
      <c r="V92" s="67">
        <v>234.6</v>
      </c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23029.399999999998</v>
      </c>
      <c r="AG92" s="72">
        <f t="shared" si="16"/>
        <v>47588.5</v>
      </c>
      <c r="AH92" s="58"/>
    </row>
    <row r="93" spans="1:33" ht="15.7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174202</v>
      </c>
      <c r="C94" s="124">
        <f t="shared" si="17"/>
        <v>99298.70000000001</v>
      </c>
      <c r="D94" s="83">
        <f t="shared" si="17"/>
        <v>12655.7</v>
      </c>
      <c r="E94" s="83">
        <f t="shared" si="17"/>
        <v>3478</v>
      </c>
      <c r="F94" s="83">
        <f t="shared" si="17"/>
        <v>5152.900000000001</v>
      </c>
      <c r="G94" s="83">
        <f t="shared" si="17"/>
        <v>1339.1999999999998</v>
      </c>
      <c r="H94" s="83">
        <f t="shared" si="17"/>
        <v>5681.099999999999</v>
      </c>
      <c r="I94" s="83">
        <f t="shared" si="17"/>
        <v>4179.9</v>
      </c>
      <c r="J94" s="83">
        <f t="shared" si="17"/>
        <v>39663.4</v>
      </c>
      <c r="K94" s="83">
        <f t="shared" si="17"/>
        <v>8056.199999999999</v>
      </c>
      <c r="L94" s="83">
        <f t="shared" si="17"/>
        <v>4200.5</v>
      </c>
      <c r="M94" s="83">
        <f t="shared" si="17"/>
        <v>3784.2</v>
      </c>
      <c r="N94" s="83">
        <f t="shared" si="17"/>
        <v>3260.3</v>
      </c>
      <c r="O94" s="83">
        <f t="shared" si="17"/>
        <v>1927.3</v>
      </c>
      <c r="P94" s="83">
        <f t="shared" si="17"/>
        <v>3468.3</v>
      </c>
      <c r="Q94" s="83">
        <f t="shared" si="17"/>
        <v>2966.3999999999996</v>
      </c>
      <c r="R94" s="83">
        <f t="shared" si="17"/>
        <v>7772.200000000001</v>
      </c>
      <c r="S94" s="83">
        <f t="shared" si="17"/>
        <v>41328.50000000001</v>
      </c>
      <c r="T94" s="83">
        <f t="shared" si="17"/>
        <v>13693.5</v>
      </c>
      <c r="U94" s="83">
        <f t="shared" si="17"/>
        <v>5063.5</v>
      </c>
      <c r="V94" s="83">
        <f t="shared" si="17"/>
        <v>1409.3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169080.4</v>
      </c>
      <c r="AG94" s="84">
        <f>AG10+AG15+AG24+AG33+AG47+AG52+AG54+AG61+AG62+AG69+AG71+AG72+AG76+AG81+AG82+AG83+AG88+AG89+AG90+AG91+AG70+AG40+AG92</f>
        <v>104420.30000000002</v>
      </c>
    </row>
    <row r="95" spans="1:33" ht="15.75">
      <c r="A95" s="3" t="s">
        <v>5</v>
      </c>
      <c r="B95" s="22">
        <f>B11+B17+B26+B34+B55+B63+B73+B41+B77+B48</f>
        <v>73419.4</v>
      </c>
      <c r="C95" s="109">
        <f aca="true" t="shared" si="18" ref="C95:AD95">C11+C17+C26+C34+C55+C63+C73+C41+C77+C48</f>
        <v>6075.300000000005</v>
      </c>
      <c r="D95" s="67">
        <f t="shared" si="18"/>
        <v>36</v>
      </c>
      <c r="E95" s="67">
        <f t="shared" si="18"/>
        <v>155.6</v>
      </c>
      <c r="F95" s="67">
        <f t="shared" si="18"/>
        <v>0</v>
      </c>
      <c r="G95" s="67">
        <f t="shared" si="18"/>
        <v>0</v>
      </c>
      <c r="H95" s="67">
        <f t="shared" si="18"/>
        <v>63</v>
      </c>
      <c r="I95" s="67">
        <f t="shared" si="18"/>
        <v>363.8</v>
      </c>
      <c r="J95" s="67">
        <f t="shared" si="18"/>
        <v>24673.799999999996</v>
      </c>
      <c r="K95" s="67">
        <f t="shared" si="18"/>
        <v>2538.3999999999996</v>
      </c>
      <c r="L95" s="67">
        <f t="shared" si="18"/>
        <v>59.6</v>
      </c>
      <c r="M95" s="67">
        <f t="shared" si="18"/>
        <v>0</v>
      </c>
      <c r="N95" s="67">
        <f t="shared" si="18"/>
        <v>84.1</v>
      </c>
      <c r="O95" s="67">
        <f t="shared" si="18"/>
        <v>0</v>
      </c>
      <c r="P95" s="67">
        <f t="shared" si="18"/>
        <v>64.8</v>
      </c>
      <c r="Q95" s="67">
        <f t="shared" si="18"/>
        <v>0</v>
      </c>
      <c r="R95" s="67">
        <f t="shared" si="18"/>
        <v>0</v>
      </c>
      <c r="S95" s="67">
        <f t="shared" si="18"/>
        <v>28156.199999999997</v>
      </c>
      <c r="T95" s="67">
        <f t="shared" si="18"/>
        <v>11786.7</v>
      </c>
      <c r="U95" s="67">
        <f t="shared" si="18"/>
        <v>2449.7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70431.69999999998</v>
      </c>
      <c r="AG95" s="71">
        <f>B95+C95-AF95</f>
        <v>9063.000000000015</v>
      </c>
    </row>
    <row r="96" spans="1:33" ht="15.75">
      <c r="A96" s="3" t="s">
        <v>2</v>
      </c>
      <c r="B96" s="22">
        <f aca="true" t="shared" si="19" ref="B96:AD96">B12+B20+B29+B36+B57+B66+B44+B80+B74+B53</f>
        <v>9673.7</v>
      </c>
      <c r="C96" s="109">
        <f t="shared" si="19"/>
        <v>13645.8</v>
      </c>
      <c r="D96" s="67">
        <f t="shared" si="19"/>
        <v>0</v>
      </c>
      <c r="E96" s="67">
        <f t="shared" si="19"/>
        <v>24</v>
      </c>
      <c r="F96" s="67">
        <f t="shared" si="19"/>
        <v>941.0999999999999</v>
      </c>
      <c r="G96" s="67">
        <f t="shared" si="19"/>
        <v>75.6</v>
      </c>
      <c r="H96" s="67">
        <f t="shared" si="19"/>
        <v>4878.6</v>
      </c>
      <c r="I96" s="67">
        <f t="shared" si="19"/>
        <v>19.5</v>
      </c>
      <c r="J96" s="67">
        <f t="shared" si="19"/>
        <v>1218.1</v>
      </c>
      <c r="K96" s="67">
        <f t="shared" si="19"/>
        <v>2046.1</v>
      </c>
      <c r="L96" s="67">
        <f t="shared" si="19"/>
        <v>3.8</v>
      </c>
      <c r="M96" s="67">
        <f t="shared" si="19"/>
        <v>3008.5</v>
      </c>
      <c r="N96" s="67">
        <f t="shared" si="19"/>
        <v>5.1</v>
      </c>
      <c r="O96" s="67">
        <f t="shared" si="19"/>
        <v>0.1</v>
      </c>
      <c r="P96" s="67">
        <f t="shared" si="19"/>
        <v>1266.7</v>
      </c>
      <c r="Q96" s="67">
        <f t="shared" si="19"/>
        <v>206.79999999999998</v>
      </c>
      <c r="R96" s="67">
        <f t="shared" si="19"/>
        <v>642.9</v>
      </c>
      <c r="S96" s="67">
        <f t="shared" si="19"/>
        <v>330.79999999999995</v>
      </c>
      <c r="T96" s="67">
        <f t="shared" si="19"/>
        <v>320.1</v>
      </c>
      <c r="U96" s="67">
        <f t="shared" si="19"/>
        <v>176.29999999999998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15164.099999999999</v>
      </c>
      <c r="AG96" s="71">
        <f>B96+C96-AF96</f>
        <v>8155.4000000000015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22.8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0.8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0.8</v>
      </c>
      <c r="AG97" s="71">
        <f>B97+C97-AF97</f>
        <v>22</v>
      </c>
    </row>
    <row r="98" spans="1:33" ht="15.75">
      <c r="A98" s="3" t="s">
        <v>1</v>
      </c>
      <c r="B98" s="22">
        <f aca="true" t="shared" si="21" ref="B98:AD98">B19+B28+B65+B35+B43+B56+B79</f>
        <v>4614.200000000001</v>
      </c>
      <c r="C98" s="109">
        <f t="shared" si="21"/>
        <v>3618.1000000000017</v>
      </c>
      <c r="D98" s="67">
        <f t="shared" si="21"/>
        <v>0</v>
      </c>
      <c r="E98" s="67">
        <f t="shared" si="21"/>
        <v>0</v>
      </c>
      <c r="F98" s="67">
        <f t="shared" si="21"/>
        <v>43.2</v>
      </c>
      <c r="G98" s="67">
        <f t="shared" si="21"/>
        <v>0</v>
      </c>
      <c r="H98" s="67">
        <f t="shared" si="21"/>
        <v>354.8</v>
      </c>
      <c r="I98" s="67">
        <f t="shared" si="21"/>
        <v>26.7</v>
      </c>
      <c r="J98" s="67">
        <f t="shared" si="21"/>
        <v>44.3</v>
      </c>
      <c r="K98" s="67">
        <f t="shared" si="21"/>
        <v>40.5</v>
      </c>
      <c r="L98" s="67">
        <f t="shared" si="21"/>
        <v>0</v>
      </c>
      <c r="M98" s="67">
        <f t="shared" si="21"/>
        <v>43.8</v>
      </c>
      <c r="N98" s="67">
        <f t="shared" si="21"/>
        <v>0</v>
      </c>
      <c r="O98" s="67">
        <f t="shared" si="21"/>
        <v>0.4</v>
      </c>
      <c r="P98" s="67">
        <f t="shared" si="21"/>
        <v>18</v>
      </c>
      <c r="Q98" s="67">
        <f t="shared" si="21"/>
        <v>351</v>
      </c>
      <c r="R98" s="67">
        <f t="shared" si="21"/>
        <v>59.1</v>
      </c>
      <c r="S98" s="67">
        <f t="shared" si="21"/>
        <v>25.3</v>
      </c>
      <c r="T98" s="67">
        <f t="shared" si="21"/>
        <v>309.8</v>
      </c>
      <c r="U98" s="67">
        <f t="shared" si="21"/>
        <v>2.1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1318.9999999999998</v>
      </c>
      <c r="AG98" s="71">
        <f>B98+C98-AF98</f>
        <v>6913.300000000003</v>
      </c>
    </row>
    <row r="99" spans="1:33" ht="15.75">
      <c r="A99" s="3" t="s">
        <v>16</v>
      </c>
      <c r="B99" s="22">
        <f aca="true" t="shared" si="22" ref="B99:X99">B21+B30+B49+B37+B58+B13+B75+B67</f>
        <v>2197</v>
      </c>
      <c r="C99" s="109">
        <f t="shared" si="22"/>
        <v>780.4000000000005</v>
      </c>
      <c r="D99" s="67">
        <f t="shared" si="22"/>
        <v>0</v>
      </c>
      <c r="E99" s="67">
        <f t="shared" si="22"/>
        <v>288</v>
      </c>
      <c r="F99" s="67">
        <f t="shared" si="22"/>
        <v>14</v>
      </c>
      <c r="G99" s="67">
        <f t="shared" si="22"/>
        <v>143.1</v>
      </c>
      <c r="H99" s="67">
        <f t="shared" si="22"/>
        <v>289.8</v>
      </c>
      <c r="I99" s="67">
        <f t="shared" si="22"/>
        <v>0</v>
      </c>
      <c r="J99" s="67">
        <f t="shared" si="22"/>
        <v>0</v>
      </c>
      <c r="K99" s="67">
        <f t="shared" si="22"/>
        <v>91.1</v>
      </c>
      <c r="L99" s="67">
        <f t="shared" si="22"/>
        <v>5.1</v>
      </c>
      <c r="M99" s="67">
        <f t="shared" si="22"/>
        <v>441.6</v>
      </c>
      <c r="N99" s="67">
        <f t="shared" si="22"/>
        <v>0</v>
      </c>
      <c r="O99" s="67">
        <f t="shared" si="22"/>
        <v>195.1</v>
      </c>
      <c r="P99" s="67">
        <f t="shared" si="22"/>
        <v>313.4</v>
      </c>
      <c r="Q99" s="67">
        <f t="shared" si="22"/>
        <v>0</v>
      </c>
      <c r="R99" s="67">
        <f t="shared" si="22"/>
        <v>564.9</v>
      </c>
      <c r="S99" s="67">
        <f t="shared" si="22"/>
        <v>0</v>
      </c>
      <c r="T99" s="67">
        <f t="shared" si="22"/>
        <v>7.1</v>
      </c>
      <c r="U99" s="67">
        <f t="shared" si="22"/>
        <v>4.2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2357.4</v>
      </c>
      <c r="AG99" s="71">
        <f>B99+C99-AF99</f>
        <v>620.0000000000005</v>
      </c>
    </row>
    <row r="100" spans="1:33" ht="12.75">
      <c r="A100" s="1" t="s">
        <v>35</v>
      </c>
      <c r="B100" s="2">
        <f aca="true" t="shared" si="24" ref="B100:AD100">B94-B95-B96-B97-B98-B99</f>
        <v>84297.70000000001</v>
      </c>
      <c r="C100" s="20">
        <f t="shared" si="24"/>
        <v>75156.3</v>
      </c>
      <c r="D100" s="85">
        <f t="shared" si="24"/>
        <v>12619.7</v>
      </c>
      <c r="E100" s="85">
        <f t="shared" si="24"/>
        <v>3010.4</v>
      </c>
      <c r="F100" s="85">
        <f t="shared" si="24"/>
        <v>4154.600000000001</v>
      </c>
      <c r="G100" s="85">
        <f t="shared" si="24"/>
        <v>1120.5</v>
      </c>
      <c r="H100" s="85">
        <f t="shared" si="24"/>
        <v>94.89999999999907</v>
      </c>
      <c r="I100" s="85">
        <f t="shared" si="24"/>
        <v>3769.8999999999996</v>
      </c>
      <c r="J100" s="85">
        <f t="shared" si="24"/>
        <v>13727.200000000006</v>
      </c>
      <c r="K100" s="85">
        <f t="shared" si="24"/>
        <v>3340.0999999999995</v>
      </c>
      <c r="L100" s="85">
        <f t="shared" si="24"/>
        <v>4131.999999999999</v>
      </c>
      <c r="M100" s="85">
        <f t="shared" si="24"/>
        <v>290.29999999999984</v>
      </c>
      <c r="N100" s="85">
        <f t="shared" si="24"/>
        <v>3171.1000000000004</v>
      </c>
      <c r="O100" s="85">
        <f t="shared" si="24"/>
        <v>1731.7</v>
      </c>
      <c r="P100" s="85">
        <f t="shared" si="24"/>
        <v>1804.6</v>
      </c>
      <c r="Q100" s="85">
        <f t="shared" si="24"/>
        <v>2408.5999999999995</v>
      </c>
      <c r="R100" s="85">
        <f t="shared" si="24"/>
        <v>6505.300000000001</v>
      </c>
      <c r="S100" s="85">
        <f t="shared" si="24"/>
        <v>12816.200000000012</v>
      </c>
      <c r="T100" s="85">
        <f t="shared" si="24"/>
        <v>1269.7999999999995</v>
      </c>
      <c r="U100" s="85">
        <f t="shared" si="24"/>
        <v>2431.2000000000003</v>
      </c>
      <c r="V100" s="85">
        <f t="shared" si="24"/>
        <v>1409.3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79807.40000000001</v>
      </c>
      <c r="AG100" s="85">
        <f>AG94-AG95-AG96-AG97-AG98-AG99</f>
        <v>79646.59999999999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4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52" sqref="AG5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0" t="s">
        <v>12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</row>
    <row r="2" spans="1:33" ht="22.5" customHeight="1">
      <c r="A2" s="161" t="s">
        <v>61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60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7</v>
      </c>
      <c r="I4" s="8">
        <v>8</v>
      </c>
      <c r="J4" s="19">
        <v>10</v>
      </c>
      <c r="K4" s="8">
        <v>11</v>
      </c>
      <c r="L4" s="8">
        <v>14</v>
      </c>
      <c r="M4" s="8">
        <v>15</v>
      </c>
      <c r="N4" s="8">
        <v>16</v>
      </c>
      <c r="O4" s="8">
        <v>17</v>
      </c>
      <c r="P4" s="8">
        <v>18</v>
      </c>
      <c r="Q4" s="8">
        <v>21</v>
      </c>
      <c r="R4" s="8">
        <v>22</v>
      </c>
      <c r="S4" s="19">
        <v>23</v>
      </c>
      <c r="T4" s="19">
        <v>24</v>
      </c>
      <c r="U4" s="8">
        <v>25</v>
      </c>
      <c r="V4" s="8">
        <v>29</v>
      </c>
      <c r="W4" s="8">
        <v>30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50647.9</v>
      </c>
      <c r="C7" s="129">
        <v>17407.199999999997</v>
      </c>
      <c r="D7" s="38"/>
      <c r="E7" s="38">
        <v>25324</v>
      </c>
      <c r="F7" s="38"/>
      <c r="G7" s="38"/>
      <c r="H7" s="56"/>
      <c r="I7" s="38"/>
      <c r="J7" s="39"/>
      <c r="K7" s="38"/>
      <c r="L7" s="38">
        <v>25323.9</v>
      </c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C7+E7+L7-AF16-AF25</f>
        <v>12222.000000000007</v>
      </c>
      <c r="AF7" s="54"/>
      <c r="AG7" s="40"/>
    </row>
    <row r="8" spans="1:55" ht="18" customHeight="1">
      <c r="A8" s="47" t="s">
        <v>30</v>
      </c>
      <c r="B8" s="33">
        <f>SUM(E8:AB8)</f>
        <v>145802</v>
      </c>
      <c r="C8" s="103">
        <v>134555.47000000015</v>
      </c>
      <c r="D8" s="59">
        <v>15675.4</v>
      </c>
      <c r="E8" s="60">
        <v>5626.8</v>
      </c>
      <c r="F8" s="61">
        <f>3336.3+32.8</f>
        <v>3369.1000000000004</v>
      </c>
      <c r="G8" s="61">
        <v>8339.3</v>
      </c>
      <c r="H8" s="61">
        <v>5428.4</v>
      </c>
      <c r="I8" s="61">
        <v>15192.7</v>
      </c>
      <c r="J8" s="61">
        <v>3761.1</v>
      </c>
      <c r="K8" s="62">
        <v>2807.5</v>
      </c>
      <c r="L8" s="61">
        <v>4092.9</v>
      </c>
      <c r="M8" s="61">
        <v>5413</v>
      </c>
      <c r="N8" s="61">
        <v>13330.7</v>
      </c>
      <c r="O8" s="61">
        <v>5594.4</v>
      </c>
      <c r="P8" s="61">
        <v>4237</v>
      </c>
      <c r="Q8" s="61">
        <v>11536.9</v>
      </c>
      <c r="R8" s="61">
        <f>4751.7+32.9</f>
        <v>4784.599999999999</v>
      </c>
      <c r="S8" s="63">
        <v>5508</v>
      </c>
      <c r="T8" s="63">
        <v>5834.2</v>
      </c>
      <c r="U8" s="61">
        <v>3155.8</v>
      </c>
      <c r="V8" s="61">
        <f>5240.7+47.2</f>
        <v>5287.9</v>
      </c>
      <c r="W8" s="61">
        <v>15541.8</v>
      </c>
      <c r="X8" s="62">
        <v>16959.9</v>
      </c>
      <c r="Y8" s="62"/>
      <c r="Z8" s="62"/>
      <c r="AA8" s="62"/>
      <c r="AB8" s="61"/>
      <c r="AC8" s="64"/>
      <c r="AD8" s="64"/>
      <c r="AE8" s="65">
        <f>SUM(D8:AD8)+C8-AF9+AF16+AF25</f>
        <v>157976.07000000015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228148.50999999998</v>
      </c>
      <c r="C9" s="104">
        <f aca="true" t="shared" si="0" ref="C9:AD9">C10+C15+C24+C33+C47+C52+C54+C61+C62+C71+C72+C88+C76+C81+C83+C82+C69+C89+C90+C91+C70+C40+C92</f>
        <v>104315</v>
      </c>
      <c r="D9" s="68">
        <f t="shared" si="0"/>
        <v>94.7</v>
      </c>
      <c r="E9" s="68">
        <f t="shared" si="0"/>
        <v>582.1</v>
      </c>
      <c r="F9" s="68">
        <f t="shared" si="0"/>
        <v>9246.9</v>
      </c>
      <c r="G9" s="68">
        <f t="shared" si="0"/>
        <v>1474.8000000000002</v>
      </c>
      <c r="H9" s="68">
        <f t="shared" si="0"/>
        <v>1442.9</v>
      </c>
      <c r="I9" s="68">
        <f t="shared" si="0"/>
        <v>1395.3</v>
      </c>
      <c r="J9" s="68">
        <f t="shared" si="0"/>
        <v>3508.8</v>
      </c>
      <c r="K9" s="68">
        <f t="shared" si="0"/>
        <v>24447</v>
      </c>
      <c r="L9" s="68">
        <f t="shared" si="0"/>
        <v>24581.999999999996</v>
      </c>
      <c r="M9" s="68">
        <f t="shared" si="0"/>
        <v>1104.1</v>
      </c>
      <c r="N9" s="68">
        <f t="shared" si="0"/>
        <v>619.7</v>
      </c>
      <c r="O9" s="68">
        <f t="shared" si="0"/>
        <v>5249.7</v>
      </c>
      <c r="P9" s="68">
        <f t="shared" si="0"/>
        <v>4330.4</v>
      </c>
      <c r="Q9" s="68">
        <f t="shared" si="0"/>
        <v>4322.1</v>
      </c>
      <c r="R9" s="68">
        <f t="shared" si="0"/>
        <v>5931.6</v>
      </c>
      <c r="S9" s="68">
        <f t="shared" si="0"/>
        <v>1048.5</v>
      </c>
      <c r="T9" s="68">
        <f t="shared" si="0"/>
        <v>3682.6000000000004</v>
      </c>
      <c r="U9" s="68">
        <f t="shared" si="0"/>
        <v>3116.1</v>
      </c>
      <c r="V9" s="68">
        <f t="shared" si="0"/>
        <v>81308.99999999999</v>
      </c>
      <c r="W9" s="68">
        <f t="shared" si="0"/>
        <v>13750.3</v>
      </c>
      <c r="X9" s="68">
        <f t="shared" si="0"/>
        <v>2651.2999999999997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193889.89999999997</v>
      </c>
      <c r="AG9" s="69">
        <f>AG10+AG15+AG24+AG33+AG47+AG52+AG54+AG61+AG62+AG71+AG72+AG76+AG88+AG81+AG83+AG82+AG69+AG89+AG91+AG90+AG70+AG40+AG92</f>
        <v>138573.61000000002</v>
      </c>
      <c r="AH9" s="41"/>
      <c r="AI9" s="41"/>
    </row>
    <row r="10" spans="1:34" ht="15.75">
      <c r="A10" s="4" t="s">
        <v>4</v>
      </c>
      <c r="B10" s="72">
        <f>18071.2+300+578+300+1050.9</f>
        <v>20300.100000000002</v>
      </c>
      <c r="C10" s="72">
        <v>6584.299999999996</v>
      </c>
      <c r="D10" s="67">
        <v>94.7</v>
      </c>
      <c r="E10" s="67">
        <v>92.5</v>
      </c>
      <c r="F10" s="67">
        <v>193.7</v>
      </c>
      <c r="G10" s="67">
        <v>40.4</v>
      </c>
      <c r="H10" s="67">
        <v>13.1</v>
      </c>
      <c r="I10" s="67">
        <v>65.5</v>
      </c>
      <c r="J10" s="70">
        <v>529.9</v>
      </c>
      <c r="K10" s="67">
        <v>1306.1</v>
      </c>
      <c r="L10" s="67">
        <v>3741.6</v>
      </c>
      <c r="M10" s="67">
        <v>51.2</v>
      </c>
      <c r="N10" s="67">
        <v>2.9</v>
      </c>
      <c r="O10" s="71">
        <v>116.1</v>
      </c>
      <c r="P10" s="67"/>
      <c r="Q10" s="67">
        <v>201.7</v>
      </c>
      <c r="R10" s="67">
        <v>108.9</v>
      </c>
      <c r="S10" s="72">
        <f>55.7+3.9</f>
        <v>59.6</v>
      </c>
      <c r="T10" s="72">
        <v>49.9</v>
      </c>
      <c r="U10" s="72">
        <v>61.5</v>
      </c>
      <c r="V10" s="72">
        <v>11638.8</v>
      </c>
      <c r="W10" s="72">
        <v>3609.8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21977.899999999998</v>
      </c>
      <c r="AG10" s="72">
        <f>B10+C10-AF10</f>
        <v>4906.5</v>
      </c>
      <c r="AH10" s="18"/>
    </row>
    <row r="11" spans="1:34" ht="15.75">
      <c r="A11" s="3" t="s">
        <v>5</v>
      </c>
      <c r="B11" s="72">
        <f>17270.02+300+578+300+1050.9</f>
        <v>19498.920000000002</v>
      </c>
      <c r="C11" s="72">
        <v>5060.2</v>
      </c>
      <c r="D11" s="67">
        <v>94.7</v>
      </c>
      <c r="E11" s="67">
        <v>2.4</v>
      </c>
      <c r="F11" s="67">
        <v>176</v>
      </c>
      <c r="G11" s="67">
        <v>19.4</v>
      </c>
      <c r="H11" s="67"/>
      <c r="I11" s="67"/>
      <c r="J11" s="72">
        <v>479.7</v>
      </c>
      <c r="K11" s="67">
        <v>1306.1</v>
      </c>
      <c r="L11" s="67">
        <v>3657.1</v>
      </c>
      <c r="M11" s="67"/>
      <c r="N11" s="67"/>
      <c r="O11" s="71">
        <v>112.4</v>
      </c>
      <c r="P11" s="67"/>
      <c r="Q11" s="67"/>
      <c r="R11" s="67">
        <v>93.9</v>
      </c>
      <c r="S11" s="72">
        <v>49.8</v>
      </c>
      <c r="T11" s="72">
        <v>6.1</v>
      </c>
      <c r="U11" s="72"/>
      <c r="V11" s="72">
        <v>11467.1</v>
      </c>
      <c r="W11" s="72">
        <v>3525.9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20990.600000000002</v>
      </c>
      <c r="AG11" s="72">
        <f>B11+C11-AF11</f>
        <v>3568.5200000000004</v>
      </c>
      <c r="AH11" s="18"/>
    </row>
    <row r="12" spans="1:34" ht="15.75">
      <c r="A12" s="3" t="s">
        <v>2</v>
      </c>
      <c r="B12" s="70">
        <v>98.8</v>
      </c>
      <c r="C12" s="72">
        <v>420.4999999999999</v>
      </c>
      <c r="D12" s="67"/>
      <c r="E12" s="67"/>
      <c r="F12" s="67"/>
      <c r="G12" s="67"/>
      <c r="H12" s="67"/>
      <c r="I12" s="67">
        <v>7</v>
      </c>
      <c r="J12" s="72"/>
      <c r="K12" s="67"/>
      <c r="L12" s="67">
        <v>38.2</v>
      </c>
      <c r="M12" s="67">
        <v>1.9</v>
      </c>
      <c r="N12" s="67"/>
      <c r="O12" s="71"/>
      <c r="P12" s="67"/>
      <c r="Q12" s="67">
        <v>190</v>
      </c>
      <c r="R12" s="67"/>
      <c r="S12" s="72"/>
      <c r="T12" s="72"/>
      <c r="U12" s="72">
        <v>51.9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289</v>
      </c>
      <c r="AG12" s="72">
        <f>B12+C12-AF12</f>
        <v>230.29999999999984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702.3800000000003</v>
      </c>
      <c r="C14" s="72">
        <f t="shared" si="2"/>
        <v>1103.5999999999958</v>
      </c>
      <c r="D14" s="67">
        <f t="shared" si="2"/>
        <v>0</v>
      </c>
      <c r="E14" s="67">
        <f t="shared" si="2"/>
        <v>90.1</v>
      </c>
      <c r="F14" s="67">
        <f t="shared" si="2"/>
        <v>17.69999999999999</v>
      </c>
      <c r="G14" s="67">
        <f t="shared" si="2"/>
        <v>21</v>
      </c>
      <c r="H14" s="67">
        <f t="shared" si="2"/>
        <v>13.1</v>
      </c>
      <c r="I14" s="67">
        <f t="shared" si="2"/>
        <v>58.5</v>
      </c>
      <c r="J14" s="67">
        <f t="shared" si="2"/>
        <v>50.19999999999999</v>
      </c>
      <c r="K14" s="67">
        <f t="shared" si="2"/>
        <v>0</v>
      </c>
      <c r="L14" s="67">
        <f t="shared" si="2"/>
        <v>46.3</v>
      </c>
      <c r="M14" s="67">
        <f t="shared" si="2"/>
        <v>49.300000000000004</v>
      </c>
      <c r="N14" s="67">
        <f t="shared" si="2"/>
        <v>2.9</v>
      </c>
      <c r="O14" s="67">
        <f t="shared" si="2"/>
        <v>3.6999999999999886</v>
      </c>
      <c r="P14" s="67">
        <f t="shared" si="2"/>
        <v>0</v>
      </c>
      <c r="Q14" s="67">
        <f t="shared" si="2"/>
        <v>11.699999999999989</v>
      </c>
      <c r="R14" s="67">
        <f t="shared" si="2"/>
        <v>15</v>
      </c>
      <c r="S14" s="67">
        <f t="shared" si="2"/>
        <v>9.800000000000004</v>
      </c>
      <c r="T14" s="67">
        <f t="shared" si="2"/>
        <v>43.8</v>
      </c>
      <c r="U14" s="67">
        <f t="shared" si="2"/>
        <v>9.600000000000001</v>
      </c>
      <c r="V14" s="67">
        <f t="shared" si="2"/>
        <v>171.6999999999989</v>
      </c>
      <c r="W14" s="67">
        <f t="shared" si="2"/>
        <v>83.90000000000009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698.299999999999</v>
      </c>
      <c r="AG14" s="72">
        <f>AG10-AG11-AG12-AG13</f>
        <v>1107.6799999999998</v>
      </c>
      <c r="AH14" s="18"/>
    </row>
    <row r="15" spans="1:35" ht="15" customHeight="1">
      <c r="A15" s="4" t="s">
        <v>6</v>
      </c>
      <c r="B15" s="72">
        <f>86876.4-830.1</f>
        <v>86046.29999999999</v>
      </c>
      <c r="C15" s="72">
        <f>21765.6-0.3</f>
        <v>21765.3</v>
      </c>
      <c r="D15" s="73"/>
      <c r="E15" s="73">
        <v>0.6</v>
      </c>
      <c r="F15" s="67">
        <v>458.3</v>
      </c>
      <c r="G15" s="67">
        <v>263.2</v>
      </c>
      <c r="H15" s="67">
        <f>922.5+121.7</f>
        <v>1044.2</v>
      </c>
      <c r="I15" s="67">
        <v>15.4</v>
      </c>
      <c r="J15" s="72"/>
      <c r="K15" s="67">
        <f>3.5+1.3+21.1+9572.3</f>
        <v>9598.199999999999</v>
      </c>
      <c r="L15" s="67">
        <v>14777.7</v>
      </c>
      <c r="M15" s="67">
        <v>70</v>
      </c>
      <c r="N15" s="67"/>
      <c r="O15" s="71"/>
      <c r="P15" s="67">
        <v>563.9</v>
      </c>
      <c r="Q15" s="71">
        <v>2338.3</v>
      </c>
      <c r="R15" s="67">
        <v>657.5</v>
      </c>
      <c r="S15" s="72">
        <v>118.8</v>
      </c>
      <c r="T15" s="72">
        <v>49</v>
      </c>
      <c r="U15" s="72">
        <v>1579</v>
      </c>
      <c r="V15" s="72">
        <f>27211.3+23759.4</f>
        <v>50970.7</v>
      </c>
      <c r="W15" s="72">
        <v>217.7</v>
      </c>
      <c r="X15" s="67">
        <v>0.3</v>
      </c>
      <c r="Y15" s="72"/>
      <c r="Z15" s="72"/>
      <c r="AA15" s="72"/>
      <c r="AB15" s="67"/>
      <c r="AC15" s="67"/>
      <c r="AD15" s="67"/>
      <c r="AE15" s="67"/>
      <c r="AF15" s="71">
        <f t="shared" si="1"/>
        <v>82722.79999999999</v>
      </c>
      <c r="AG15" s="72">
        <f aca="true" t="shared" si="3" ref="AG15:AG31">B15+C15-AF15</f>
        <v>25088.800000000003</v>
      </c>
      <c r="AH15" s="18"/>
      <c r="AI15" s="86"/>
    </row>
    <row r="16" spans="1:34" s="53" customFormat="1" ht="15" customHeight="1">
      <c r="A16" s="51" t="s">
        <v>38</v>
      </c>
      <c r="B16" s="76">
        <v>37305.9</v>
      </c>
      <c r="C16" s="76">
        <v>134.39999999999418</v>
      </c>
      <c r="D16" s="74"/>
      <c r="E16" s="74"/>
      <c r="F16" s="75"/>
      <c r="G16" s="75"/>
      <c r="H16" s="75"/>
      <c r="I16" s="75"/>
      <c r="J16" s="76"/>
      <c r="K16" s="75">
        <v>9572.3</v>
      </c>
      <c r="L16" s="75"/>
      <c r="M16" s="75"/>
      <c r="N16" s="75"/>
      <c r="O16" s="77"/>
      <c r="P16" s="75"/>
      <c r="Q16" s="77"/>
      <c r="R16" s="75"/>
      <c r="S16" s="76"/>
      <c r="T16" s="76"/>
      <c r="U16" s="76"/>
      <c r="V16" s="76">
        <v>23759.4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33331.7</v>
      </c>
      <c r="AG16" s="115">
        <f t="shared" si="3"/>
        <v>4108.5999999999985</v>
      </c>
      <c r="AH16" s="116"/>
    </row>
    <row r="17" spans="1:34" ht="15.75">
      <c r="A17" s="3" t="s">
        <v>5</v>
      </c>
      <c r="B17" s="72">
        <f>76467.95-830.1+57.4</f>
        <v>75695.24999999999</v>
      </c>
      <c r="C17" s="72">
        <v>3206.0999999999985</v>
      </c>
      <c r="D17" s="67"/>
      <c r="E17" s="67">
        <v>0.6</v>
      </c>
      <c r="F17" s="67">
        <v>48.1</v>
      </c>
      <c r="G17" s="67"/>
      <c r="H17" s="67"/>
      <c r="I17" s="67"/>
      <c r="J17" s="72"/>
      <c r="K17" s="67">
        <f>3.5+9572.3</f>
        <v>9575.8</v>
      </c>
      <c r="L17" s="67">
        <v>12806.6</v>
      </c>
      <c r="M17" s="67"/>
      <c r="N17" s="67"/>
      <c r="O17" s="71"/>
      <c r="P17" s="67"/>
      <c r="Q17" s="71"/>
      <c r="R17" s="67"/>
      <c r="S17" s="72"/>
      <c r="T17" s="72"/>
      <c r="U17" s="72">
        <v>0.7</v>
      </c>
      <c r="V17" s="72">
        <f>22472.9+23759.4</f>
        <v>46232.3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68664.1</v>
      </c>
      <c r="AG17" s="72">
        <f t="shared" si="3"/>
        <v>10237.24999999997</v>
      </c>
      <c r="AH17" s="21"/>
    </row>
    <row r="18" spans="1:34" ht="15.75">
      <c r="A18" s="3" t="s">
        <v>3</v>
      </c>
      <c r="B18" s="72">
        <v>0</v>
      </c>
      <c r="C18" s="72">
        <v>21.2</v>
      </c>
      <c r="D18" s="67"/>
      <c r="E18" s="67"/>
      <c r="F18" s="67"/>
      <c r="G18" s="67"/>
      <c r="H18" s="67"/>
      <c r="I18" s="67"/>
      <c r="J18" s="72"/>
      <c r="K18" s="67"/>
      <c r="L18" s="67">
        <v>4.1</v>
      </c>
      <c r="M18" s="67"/>
      <c r="N18" s="67"/>
      <c r="O18" s="71"/>
      <c r="P18" s="67"/>
      <c r="Q18" s="71"/>
      <c r="R18" s="67">
        <v>3.6</v>
      </c>
      <c r="S18" s="72"/>
      <c r="T18" s="72"/>
      <c r="U18" s="72">
        <v>0.3</v>
      </c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7.999999999999999</v>
      </c>
      <c r="AG18" s="72">
        <f t="shared" si="3"/>
        <v>13.2</v>
      </c>
      <c r="AH18" s="18"/>
    </row>
    <row r="19" spans="1:34" ht="15.75">
      <c r="A19" s="3" t="s">
        <v>1</v>
      </c>
      <c r="B19" s="72">
        <f>5310</f>
        <v>5310</v>
      </c>
      <c r="C19" s="72">
        <f>6864.3-9.9</f>
        <v>6854.400000000001</v>
      </c>
      <c r="D19" s="67"/>
      <c r="E19" s="67"/>
      <c r="F19" s="67">
        <v>256.9</v>
      </c>
      <c r="G19" s="67"/>
      <c r="H19" s="67"/>
      <c r="I19" s="67">
        <v>2.7</v>
      </c>
      <c r="J19" s="72"/>
      <c r="K19" s="67"/>
      <c r="L19" s="67">
        <v>603.6</v>
      </c>
      <c r="M19" s="67">
        <v>33.3</v>
      </c>
      <c r="N19" s="67"/>
      <c r="O19" s="71"/>
      <c r="P19" s="67"/>
      <c r="Q19" s="71">
        <v>551.7</v>
      </c>
      <c r="R19" s="67">
        <v>33.6</v>
      </c>
      <c r="S19" s="72"/>
      <c r="T19" s="72"/>
      <c r="U19" s="72">
        <v>295.5</v>
      </c>
      <c r="V19" s="72">
        <v>3721.6</v>
      </c>
      <c r="W19" s="72">
        <v>217.4</v>
      </c>
      <c r="X19" s="67">
        <v>0.3</v>
      </c>
      <c r="Y19" s="72"/>
      <c r="Z19" s="72"/>
      <c r="AA19" s="72"/>
      <c r="AB19" s="67"/>
      <c r="AC19" s="67"/>
      <c r="AD19" s="67"/>
      <c r="AE19" s="67"/>
      <c r="AF19" s="71">
        <f t="shared" si="1"/>
        <v>5716.599999999999</v>
      </c>
      <c r="AG19" s="72">
        <f t="shared" si="3"/>
        <v>6447.800000000002</v>
      </c>
      <c r="AH19" s="18"/>
    </row>
    <row r="20" spans="1:34" ht="15.75">
      <c r="A20" s="3" t="s">
        <v>2</v>
      </c>
      <c r="B20" s="72">
        <f>1728.8-57.4</f>
        <v>1671.3999999999999</v>
      </c>
      <c r="C20" s="72">
        <v>5422.1</v>
      </c>
      <c r="D20" s="67"/>
      <c r="E20" s="67"/>
      <c r="F20" s="67">
        <v>107.3</v>
      </c>
      <c r="G20" s="67">
        <v>200.6</v>
      </c>
      <c r="H20" s="67">
        <v>922.5</v>
      </c>
      <c r="I20" s="67"/>
      <c r="J20" s="72"/>
      <c r="K20" s="67">
        <v>1.3</v>
      </c>
      <c r="L20" s="67">
        <v>1165.1</v>
      </c>
      <c r="M20" s="67">
        <v>7.7</v>
      </c>
      <c r="N20" s="67"/>
      <c r="O20" s="71"/>
      <c r="P20" s="67"/>
      <c r="Q20" s="71">
        <v>1214.6</v>
      </c>
      <c r="R20" s="67">
        <v>442.9</v>
      </c>
      <c r="S20" s="72">
        <v>113.5</v>
      </c>
      <c r="T20" s="72">
        <v>15.4</v>
      </c>
      <c r="U20" s="72">
        <v>686.4</v>
      </c>
      <c r="V20" s="72">
        <v>723.1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5600.4</v>
      </c>
      <c r="AG20" s="72">
        <f t="shared" si="3"/>
        <v>1493.1000000000004</v>
      </c>
      <c r="AH20" s="18"/>
    </row>
    <row r="21" spans="1:34" ht="15.75">
      <c r="A21" s="3" t="s">
        <v>16</v>
      </c>
      <c r="B21" s="72">
        <v>1219.7</v>
      </c>
      <c r="C21" s="72">
        <v>90.3</v>
      </c>
      <c r="D21" s="67"/>
      <c r="E21" s="67"/>
      <c r="F21" s="67"/>
      <c r="G21" s="67">
        <v>21.1</v>
      </c>
      <c r="H21" s="67"/>
      <c r="I21" s="67"/>
      <c r="J21" s="72"/>
      <c r="K21" s="67">
        <v>21.1</v>
      </c>
      <c r="L21" s="67"/>
      <c r="M21" s="67"/>
      <c r="N21" s="67"/>
      <c r="O21" s="71"/>
      <c r="P21" s="67">
        <v>563.9</v>
      </c>
      <c r="Q21" s="71">
        <v>19</v>
      </c>
      <c r="R21" s="67">
        <v>160.9</v>
      </c>
      <c r="S21" s="72"/>
      <c r="T21" s="72"/>
      <c r="U21" s="67">
        <v>282.3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1068.3</v>
      </c>
      <c r="AG21" s="72">
        <f t="shared" si="3"/>
        <v>241.70000000000005</v>
      </c>
      <c r="AH21" s="18"/>
    </row>
    <row r="22" spans="1:33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72">
        <f aca="true" t="shared" si="4" ref="B23:AD23">B15-B17-B18-B19-B20-B21-B22</f>
        <v>2149.9500000000035</v>
      </c>
      <c r="C23" s="72">
        <f t="shared" si="4"/>
        <v>6171.199999999998</v>
      </c>
      <c r="D23" s="67">
        <f t="shared" si="4"/>
        <v>0</v>
      </c>
      <c r="E23" s="67">
        <f t="shared" si="4"/>
        <v>0</v>
      </c>
      <c r="F23" s="67">
        <f t="shared" si="4"/>
        <v>46.000000000000014</v>
      </c>
      <c r="G23" s="67">
        <f t="shared" si="4"/>
        <v>41.49999999999999</v>
      </c>
      <c r="H23" s="67">
        <f t="shared" si="4"/>
        <v>121.70000000000005</v>
      </c>
      <c r="I23" s="67">
        <f t="shared" si="4"/>
        <v>12.7</v>
      </c>
      <c r="J23" s="67">
        <f t="shared" si="4"/>
        <v>0</v>
      </c>
      <c r="K23" s="67">
        <f t="shared" si="4"/>
        <v>-3.659295089164516E-13</v>
      </c>
      <c r="L23" s="67">
        <f t="shared" si="4"/>
        <v>198.30000000000064</v>
      </c>
      <c r="M23" s="67">
        <f t="shared" si="4"/>
        <v>29.000000000000004</v>
      </c>
      <c r="N23" s="67">
        <f t="shared" si="4"/>
        <v>0</v>
      </c>
      <c r="O23" s="67">
        <f t="shared" si="4"/>
        <v>0</v>
      </c>
      <c r="P23" s="67">
        <f t="shared" si="4"/>
        <v>0</v>
      </c>
      <c r="Q23" s="67">
        <f t="shared" si="4"/>
        <v>553.0000000000002</v>
      </c>
      <c r="R23" s="67">
        <f t="shared" si="4"/>
        <v>16.49999999999997</v>
      </c>
      <c r="S23" s="67">
        <f t="shared" si="4"/>
        <v>5.299999999999997</v>
      </c>
      <c r="T23" s="67">
        <f t="shared" si="4"/>
        <v>33.6</v>
      </c>
      <c r="U23" s="67">
        <f t="shared" si="4"/>
        <v>313.8</v>
      </c>
      <c r="V23" s="67">
        <f t="shared" si="4"/>
        <v>293.69999999999425</v>
      </c>
      <c r="W23" s="67">
        <f t="shared" si="4"/>
        <v>0.29999999999998295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1665.3999999999944</v>
      </c>
      <c r="AG23" s="72">
        <f t="shared" si="3"/>
        <v>6655.750000000007</v>
      </c>
    </row>
    <row r="24" spans="1:35" s="18" customFormat="1" ht="15" customHeight="1">
      <c r="A24" s="108" t="s">
        <v>7</v>
      </c>
      <c r="B24" s="72">
        <f>34265.4-1534.5+750.4</f>
        <v>33481.3</v>
      </c>
      <c r="C24" s="72">
        <v>9827.7</v>
      </c>
      <c r="D24" s="72"/>
      <c r="E24" s="72"/>
      <c r="F24" s="72">
        <f>75.3+504.8</f>
        <v>580.1</v>
      </c>
      <c r="G24" s="72">
        <v>29.3</v>
      </c>
      <c r="H24" s="72"/>
      <c r="I24" s="72">
        <v>0.6</v>
      </c>
      <c r="J24" s="72"/>
      <c r="K24" s="72">
        <f>441.9+11816.1</f>
        <v>12258</v>
      </c>
      <c r="L24" s="72">
        <f>2322.7+1.7</f>
        <v>2324.3999999999996</v>
      </c>
      <c r="M24" s="72">
        <f>7.7+19.7</f>
        <v>27.4</v>
      </c>
      <c r="N24" s="72"/>
      <c r="O24" s="72">
        <f>186.3+953.3</f>
        <v>1139.6</v>
      </c>
      <c r="P24" s="72">
        <v>126</v>
      </c>
      <c r="Q24" s="72">
        <f>82.9+25</f>
        <v>107.9</v>
      </c>
      <c r="R24" s="72">
        <v>814</v>
      </c>
      <c r="S24" s="72">
        <v>15.2</v>
      </c>
      <c r="T24" s="72">
        <f>66.4+170.5</f>
        <v>236.9</v>
      </c>
      <c r="U24" s="72"/>
      <c r="V24" s="72">
        <f>7740.6+7930.3</f>
        <v>15670.900000000001</v>
      </c>
      <c r="W24" s="72">
        <v>379</v>
      </c>
      <c r="X24" s="72"/>
      <c r="Y24" s="72"/>
      <c r="Z24" s="72"/>
      <c r="AA24" s="72"/>
      <c r="AB24" s="72"/>
      <c r="AC24" s="72"/>
      <c r="AD24" s="72"/>
      <c r="AE24" s="72"/>
      <c r="AF24" s="72">
        <f>SUM(D24:AD24)</f>
        <v>33709.3</v>
      </c>
      <c r="AG24" s="72">
        <f t="shared" si="3"/>
        <v>9599.699999999997</v>
      </c>
      <c r="AI24" s="112"/>
    </row>
    <row r="25" spans="1:34" s="53" customFormat="1" ht="15" customHeight="1">
      <c r="A25" s="51" t="s">
        <v>39</v>
      </c>
      <c r="B25" s="76">
        <f>22002.9+750.3</f>
        <v>22753.2</v>
      </c>
      <c r="C25" s="76">
        <v>2082</v>
      </c>
      <c r="D25" s="75"/>
      <c r="E25" s="75"/>
      <c r="F25" s="75">
        <v>504.8</v>
      </c>
      <c r="G25" s="75">
        <v>29.3</v>
      </c>
      <c r="H25" s="75"/>
      <c r="I25" s="75">
        <v>0.6</v>
      </c>
      <c r="J25" s="76"/>
      <c r="K25" s="75">
        <v>11816.1</v>
      </c>
      <c r="L25" s="75">
        <v>1.7</v>
      </c>
      <c r="M25" s="75">
        <v>19.7</v>
      </c>
      <c r="N25" s="75"/>
      <c r="O25" s="77">
        <v>953.3</v>
      </c>
      <c r="P25" s="75">
        <v>126</v>
      </c>
      <c r="Q25" s="77">
        <v>25</v>
      </c>
      <c r="R25" s="77">
        <v>545.2</v>
      </c>
      <c r="S25" s="76"/>
      <c r="T25" s="76">
        <v>170.5</v>
      </c>
      <c r="U25" s="76"/>
      <c r="V25" s="76">
        <v>7930.2</v>
      </c>
      <c r="W25" s="76">
        <v>379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22501.4</v>
      </c>
      <c r="AG25" s="115">
        <f t="shared" si="3"/>
        <v>2333.7999999999993</v>
      </c>
      <c r="AH25" s="57"/>
    </row>
    <row r="26" spans="1:34" ht="15.7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v>34265.6</v>
      </c>
      <c r="C32" s="72">
        <f aca="true" t="shared" si="5" ref="C32:AD32">C24-C26-C27-C28-C29-C30-C31</f>
        <v>9827.7</v>
      </c>
      <c r="D32" s="67">
        <f t="shared" si="5"/>
        <v>0</v>
      </c>
      <c r="E32" s="67">
        <f t="shared" si="5"/>
        <v>0</v>
      </c>
      <c r="F32" s="67">
        <f t="shared" si="5"/>
        <v>580.1</v>
      </c>
      <c r="G32" s="67">
        <f t="shared" si="5"/>
        <v>29.3</v>
      </c>
      <c r="H32" s="67">
        <f t="shared" si="5"/>
        <v>0</v>
      </c>
      <c r="I32" s="67">
        <f t="shared" si="5"/>
        <v>0.6</v>
      </c>
      <c r="J32" s="67">
        <f t="shared" si="5"/>
        <v>0</v>
      </c>
      <c r="K32" s="67">
        <f t="shared" si="5"/>
        <v>12258</v>
      </c>
      <c r="L32" s="67">
        <f t="shared" si="5"/>
        <v>2324.3999999999996</v>
      </c>
      <c r="M32" s="67">
        <f t="shared" si="5"/>
        <v>27.4</v>
      </c>
      <c r="N32" s="67">
        <f t="shared" si="5"/>
        <v>0</v>
      </c>
      <c r="O32" s="67">
        <f t="shared" si="5"/>
        <v>1139.6</v>
      </c>
      <c r="P32" s="67">
        <f t="shared" si="5"/>
        <v>126</v>
      </c>
      <c r="Q32" s="67">
        <f t="shared" si="5"/>
        <v>107.9</v>
      </c>
      <c r="R32" s="67">
        <f t="shared" si="5"/>
        <v>814</v>
      </c>
      <c r="S32" s="67">
        <f t="shared" si="5"/>
        <v>15.2</v>
      </c>
      <c r="T32" s="67">
        <f t="shared" si="5"/>
        <v>236.9</v>
      </c>
      <c r="U32" s="67">
        <f t="shared" si="5"/>
        <v>0</v>
      </c>
      <c r="V32" s="67">
        <f t="shared" si="5"/>
        <v>15670.900000000001</v>
      </c>
      <c r="W32" s="67">
        <f t="shared" si="5"/>
        <v>379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33709.3</v>
      </c>
      <c r="AG32" s="72">
        <f>AG24</f>
        <v>9599.699999999997</v>
      </c>
    </row>
    <row r="33" spans="1:33" ht="15" customHeight="1">
      <c r="A33" s="4" t="s">
        <v>8</v>
      </c>
      <c r="B33" s="72">
        <f>319.5+67.3</f>
        <v>386.8</v>
      </c>
      <c r="C33" s="72">
        <v>107.30000000000007</v>
      </c>
      <c r="D33" s="67"/>
      <c r="E33" s="67"/>
      <c r="F33" s="67"/>
      <c r="G33" s="67"/>
      <c r="H33" s="67">
        <v>0.4</v>
      </c>
      <c r="I33" s="67"/>
      <c r="J33" s="72"/>
      <c r="K33" s="67"/>
      <c r="L33" s="67">
        <v>114.1</v>
      </c>
      <c r="M33" s="67"/>
      <c r="N33" s="67"/>
      <c r="O33" s="71"/>
      <c r="P33" s="67"/>
      <c r="Q33" s="71">
        <v>2.5</v>
      </c>
      <c r="R33" s="67"/>
      <c r="S33" s="72"/>
      <c r="T33" s="72">
        <v>187.7</v>
      </c>
      <c r="U33" s="72">
        <v>22</v>
      </c>
      <c r="V33" s="72">
        <v>17.7</v>
      </c>
      <c r="W33" s="72">
        <v>67.3</v>
      </c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411.7</v>
      </c>
      <c r="AG33" s="72">
        <f aca="true" t="shared" si="6" ref="AG33:AG38">B33+C33-AF33</f>
        <v>82.40000000000009</v>
      </c>
    </row>
    <row r="34" spans="1:33" ht="15.75">
      <c r="A34" s="3" t="s">
        <v>5</v>
      </c>
      <c r="B34" s="72">
        <v>265.4</v>
      </c>
      <c r="C34" s="72">
        <v>32.69999999999996</v>
      </c>
      <c r="D34" s="67"/>
      <c r="E34" s="67"/>
      <c r="F34" s="67"/>
      <c r="G34" s="67"/>
      <c r="H34" s="67"/>
      <c r="I34" s="67"/>
      <c r="J34" s="72"/>
      <c r="K34" s="67"/>
      <c r="L34" s="67">
        <v>80.7</v>
      </c>
      <c r="M34" s="67"/>
      <c r="N34" s="67"/>
      <c r="O34" s="67"/>
      <c r="P34" s="67"/>
      <c r="Q34" s="71"/>
      <c r="R34" s="67"/>
      <c r="S34" s="72"/>
      <c r="T34" s="72">
        <v>178.9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259.6</v>
      </c>
      <c r="AG34" s="72">
        <f t="shared" si="6"/>
        <v>38.499999999999886</v>
      </c>
    </row>
    <row r="35" spans="1:33" ht="15.75" hidden="1">
      <c r="A35" s="3" t="s">
        <v>1</v>
      </c>
      <c r="B35" s="72"/>
      <c r="C35" s="7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111">
        <v>28.4</v>
      </c>
      <c r="C36" s="72">
        <v>45.59999999999998</v>
      </c>
      <c r="D36" s="67"/>
      <c r="E36" s="67"/>
      <c r="F36" s="67"/>
      <c r="G36" s="67"/>
      <c r="H36" s="67">
        <v>0.2</v>
      </c>
      <c r="I36" s="67"/>
      <c r="J36" s="72"/>
      <c r="K36" s="67"/>
      <c r="L36" s="67">
        <v>29.7</v>
      </c>
      <c r="M36" s="67"/>
      <c r="N36" s="72"/>
      <c r="O36" s="71"/>
      <c r="P36" s="67"/>
      <c r="Q36" s="71">
        <v>2.5</v>
      </c>
      <c r="R36" s="67"/>
      <c r="S36" s="72"/>
      <c r="T36" s="72">
        <v>1.8</v>
      </c>
      <c r="U36" s="67">
        <v>22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56.199999999999996</v>
      </c>
      <c r="AG36" s="72">
        <f t="shared" si="6"/>
        <v>17.799999999999976</v>
      </c>
    </row>
    <row r="37" spans="1:33" ht="15.75" hidden="1">
      <c r="A37" s="3" t="s">
        <v>16</v>
      </c>
      <c r="B37" s="72">
        <v>0</v>
      </c>
      <c r="C37" s="7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93.00000000000003</v>
      </c>
      <c r="C39" s="72">
        <f t="shared" si="7"/>
        <v>29.000000000000128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0.2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3.699999999999992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6.999999999999983</v>
      </c>
      <c r="U39" s="67">
        <f t="shared" si="7"/>
        <v>0</v>
      </c>
      <c r="V39" s="67">
        <f t="shared" si="7"/>
        <v>17.7</v>
      </c>
      <c r="W39" s="67">
        <f t="shared" si="7"/>
        <v>67.3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95.89999999999998</v>
      </c>
      <c r="AG39" s="72">
        <f>AG33-AG34-AG36-AG38-AG35-AG37</f>
        <v>26.10000000000023</v>
      </c>
    </row>
    <row r="40" spans="1:33" ht="15" customHeight="1">
      <c r="A40" s="4" t="s">
        <v>29</v>
      </c>
      <c r="B40" s="72">
        <v>1146.4</v>
      </c>
      <c r="C40" s="72">
        <v>322.5999999999999</v>
      </c>
      <c r="D40" s="67"/>
      <c r="E40" s="67"/>
      <c r="F40" s="67"/>
      <c r="G40" s="67"/>
      <c r="H40" s="67"/>
      <c r="I40" s="67"/>
      <c r="J40" s="72"/>
      <c r="K40" s="67"/>
      <c r="L40" s="67">
        <v>386.5</v>
      </c>
      <c r="M40" s="67"/>
      <c r="N40" s="67"/>
      <c r="O40" s="71"/>
      <c r="P40" s="67"/>
      <c r="Q40" s="71"/>
      <c r="R40" s="71"/>
      <c r="S40" s="72"/>
      <c r="T40" s="72"/>
      <c r="U40" s="72">
        <f>178.3+1.6</f>
        <v>179.9</v>
      </c>
      <c r="V40" s="72">
        <v>781.7</v>
      </c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1348.1</v>
      </c>
      <c r="AG40" s="72">
        <f aca="true" t="shared" si="8" ref="AG40:AG45">B40+C40-AF40</f>
        <v>120.90000000000009</v>
      </c>
    </row>
    <row r="41" spans="1:34" ht="15.75">
      <c r="A41" s="3" t="s">
        <v>5</v>
      </c>
      <c r="B41" s="72">
        <v>1049</v>
      </c>
      <c r="C41" s="72">
        <v>121.19999999999982</v>
      </c>
      <c r="D41" s="67"/>
      <c r="E41" s="67"/>
      <c r="F41" s="67"/>
      <c r="G41" s="67"/>
      <c r="H41" s="67"/>
      <c r="I41" s="67"/>
      <c r="J41" s="72"/>
      <c r="K41" s="67"/>
      <c r="L41" s="67">
        <v>342.8</v>
      </c>
      <c r="M41" s="67"/>
      <c r="N41" s="67"/>
      <c r="O41" s="71"/>
      <c r="P41" s="67"/>
      <c r="Q41" s="67"/>
      <c r="R41" s="67"/>
      <c r="S41" s="72"/>
      <c r="T41" s="72"/>
      <c r="U41" s="72"/>
      <c r="V41" s="72">
        <v>781.7</v>
      </c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1124.5</v>
      </c>
      <c r="AG41" s="72">
        <f t="shared" si="8"/>
        <v>45.69999999999982</v>
      </c>
      <c r="AH41" s="6"/>
    </row>
    <row r="42" spans="1:33" ht="15.75" hidden="1">
      <c r="A42" s="3" t="s">
        <v>3</v>
      </c>
      <c r="B42" s="72"/>
      <c r="C42" s="72">
        <v>0.8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.75">
      <c r="A43" s="3" t="s">
        <v>1</v>
      </c>
      <c r="B43" s="72">
        <v>9.6</v>
      </c>
      <c r="C43" s="72">
        <v>11.5</v>
      </c>
      <c r="D43" s="67"/>
      <c r="E43" s="67"/>
      <c r="F43" s="67"/>
      <c r="G43" s="67"/>
      <c r="H43" s="67"/>
      <c r="I43" s="67"/>
      <c r="J43" s="72"/>
      <c r="K43" s="67"/>
      <c r="L43" s="67">
        <v>7.7</v>
      </c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7.7</v>
      </c>
      <c r="AG43" s="72">
        <f t="shared" si="8"/>
        <v>13.400000000000002</v>
      </c>
    </row>
    <row r="44" spans="1:33" ht="15.75">
      <c r="A44" s="3" t="s">
        <v>2</v>
      </c>
      <c r="B44" s="72">
        <v>57.9</v>
      </c>
      <c r="C44" s="72">
        <v>178.39999999999998</v>
      </c>
      <c r="D44" s="67"/>
      <c r="E44" s="67"/>
      <c r="F44" s="67"/>
      <c r="G44" s="67"/>
      <c r="H44" s="67"/>
      <c r="I44" s="67"/>
      <c r="J44" s="72"/>
      <c r="K44" s="67"/>
      <c r="L44" s="67">
        <v>11.2</v>
      </c>
      <c r="M44" s="67"/>
      <c r="N44" s="67"/>
      <c r="O44" s="71"/>
      <c r="P44" s="67"/>
      <c r="Q44" s="67"/>
      <c r="R44" s="67"/>
      <c r="S44" s="72"/>
      <c r="T44" s="72"/>
      <c r="U44" s="72">
        <v>178.3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189.5</v>
      </c>
      <c r="AG44" s="72">
        <f t="shared" si="8"/>
        <v>46.79999999999998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29.900000000000098</v>
      </c>
      <c r="C46" s="72">
        <f t="shared" si="9"/>
        <v>10.700000000000102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24.799999999999986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1.5999999999999943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26.39999999999998</v>
      </c>
      <c r="AG46" s="72">
        <f>AG40-AG41-AG42-AG43-AG44-AG45</f>
        <v>14.200000000000287</v>
      </c>
    </row>
    <row r="47" spans="1:33" ht="17.25" customHeight="1">
      <c r="A47" s="4" t="s">
        <v>43</v>
      </c>
      <c r="B47" s="70">
        <f>1223.89+431.1</f>
        <v>1654.9900000000002</v>
      </c>
      <c r="C47" s="72">
        <v>909.4</v>
      </c>
      <c r="D47" s="67"/>
      <c r="E47" s="79">
        <v>19.6</v>
      </c>
      <c r="F47" s="79"/>
      <c r="G47" s="79">
        <v>31</v>
      </c>
      <c r="H47" s="79">
        <v>32.7</v>
      </c>
      <c r="I47" s="79">
        <v>235.7</v>
      </c>
      <c r="J47" s="80">
        <v>6.8</v>
      </c>
      <c r="K47" s="79">
        <v>148.9</v>
      </c>
      <c r="L47" s="79">
        <v>7.7</v>
      </c>
      <c r="M47" s="79">
        <v>39</v>
      </c>
      <c r="N47" s="79">
        <v>92.5</v>
      </c>
      <c r="O47" s="81">
        <v>5.9</v>
      </c>
      <c r="P47" s="79"/>
      <c r="Q47" s="79">
        <v>52.5</v>
      </c>
      <c r="R47" s="79">
        <v>330</v>
      </c>
      <c r="S47" s="80">
        <v>44.5</v>
      </c>
      <c r="T47" s="80">
        <v>11.7</v>
      </c>
      <c r="U47" s="79"/>
      <c r="V47" s="79">
        <v>17.7</v>
      </c>
      <c r="W47" s="79">
        <v>4.5</v>
      </c>
      <c r="X47" s="79">
        <v>12.7</v>
      </c>
      <c r="Y47" s="80"/>
      <c r="Z47" s="80"/>
      <c r="AA47" s="80"/>
      <c r="AB47" s="79"/>
      <c r="AC47" s="79"/>
      <c r="AD47" s="79"/>
      <c r="AE47" s="79"/>
      <c r="AF47" s="71">
        <f t="shared" si="1"/>
        <v>1093.4000000000003</v>
      </c>
      <c r="AG47" s="72">
        <f>B47+C47-AF47</f>
        <v>1470.99</v>
      </c>
    </row>
    <row r="48" spans="1:33" ht="15.75">
      <c r="A48" s="3" t="s">
        <v>5</v>
      </c>
      <c r="B48" s="72">
        <v>36.4</v>
      </c>
      <c r="C48" s="72">
        <v>72.8</v>
      </c>
      <c r="D48" s="67"/>
      <c r="E48" s="79"/>
      <c r="F48" s="79"/>
      <c r="G48" s="79"/>
      <c r="H48" s="79"/>
      <c r="I48" s="79"/>
      <c r="J48" s="80"/>
      <c r="K48" s="79">
        <v>31.2</v>
      </c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>
        <v>4.8</v>
      </c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36</v>
      </c>
      <c r="AG48" s="72">
        <f>B48+C48-AF48</f>
        <v>73.19999999999999</v>
      </c>
    </row>
    <row r="49" spans="1:33" ht="15.75">
      <c r="A49" s="3" t="s">
        <v>16</v>
      </c>
      <c r="B49" s="72">
        <f>990.37+406</f>
        <v>1396.37</v>
      </c>
      <c r="C49" s="72">
        <v>500.70000000000005</v>
      </c>
      <c r="D49" s="67"/>
      <c r="E49" s="67"/>
      <c r="F49" s="67"/>
      <c r="G49" s="67">
        <v>3.8</v>
      </c>
      <c r="H49" s="67">
        <v>32.7</v>
      </c>
      <c r="I49" s="67">
        <v>179.1</v>
      </c>
      <c r="J49" s="72"/>
      <c r="K49" s="67">
        <v>117.7</v>
      </c>
      <c r="L49" s="67">
        <v>1.8</v>
      </c>
      <c r="M49" s="67">
        <v>39</v>
      </c>
      <c r="N49" s="67">
        <v>92.5</v>
      </c>
      <c r="O49" s="71">
        <v>1.8</v>
      </c>
      <c r="P49" s="67"/>
      <c r="Q49" s="67">
        <v>43.8</v>
      </c>
      <c r="R49" s="67">
        <v>330</v>
      </c>
      <c r="S49" s="72">
        <v>35</v>
      </c>
      <c r="T49" s="72">
        <v>1.8</v>
      </c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879</v>
      </c>
      <c r="AG49" s="72">
        <f>B49+C49-AF49</f>
        <v>1018.0699999999999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 aca="true" t="shared" si="10" ref="B51:AD51">B47-B48-B49</f>
        <v>222.22000000000025</v>
      </c>
      <c r="C51" s="72">
        <f t="shared" si="10"/>
        <v>335.9</v>
      </c>
      <c r="D51" s="67">
        <f t="shared" si="10"/>
        <v>0</v>
      </c>
      <c r="E51" s="67">
        <f t="shared" si="10"/>
        <v>19.6</v>
      </c>
      <c r="F51" s="67">
        <f t="shared" si="10"/>
        <v>0</v>
      </c>
      <c r="G51" s="67">
        <f t="shared" si="10"/>
        <v>27.2</v>
      </c>
      <c r="H51" s="67">
        <f t="shared" si="10"/>
        <v>0</v>
      </c>
      <c r="I51" s="67">
        <f t="shared" si="10"/>
        <v>56.599999999999994</v>
      </c>
      <c r="J51" s="67">
        <f t="shared" si="10"/>
        <v>6.8</v>
      </c>
      <c r="K51" s="67">
        <f t="shared" si="10"/>
        <v>0</v>
      </c>
      <c r="L51" s="67">
        <f t="shared" si="10"/>
        <v>5.9</v>
      </c>
      <c r="M51" s="67">
        <f t="shared" si="10"/>
        <v>0</v>
      </c>
      <c r="N51" s="67">
        <f t="shared" si="10"/>
        <v>0</v>
      </c>
      <c r="O51" s="67">
        <f t="shared" si="10"/>
        <v>4.1000000000000005</v>
      </c>
      <c r="P51" s="67">
        <f t="shared" si="10"/>
        <v>0</v>
      </c>
      <c r="Q51" s="67">
        <f t="shared" si="10"/>
        <v>8.700000000000003</v>
      </c>
      <c r="R51" s="67">
        <f t="shared" si="10"/>
        <v>0</v>
      </c>
      <c r="S51" s="67">
        <f t="shared" si="10"/>
        <v>9.5</v>
      </c>
      <c r="T51" s="67">
        <f t="shared" si="10"/>
        <v>9.899999999999999</v>
      </c>
      <c r="U51" s="67">
        <f t="shared" si="10"/>
        <v>0</v>
      </c>
      <c r="V51" s="67">
        <f t="shared" si="10"/>
        <v>12.899999999999999</v>
      </c>
      <c r="W51" s="67">
        <f t="shared" si="10"/>
        <v>4.5</v>
      </c>
      <c r="X51" s="67">
        <f t="shared" si="10"/>
        <v>12.7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178.39999999999998</v>
      </c>
      <c r="AG51" s="72">
        <f>AG47-AG49-AG48</f>
        <v>379.7200000000001</v>
      </c>
    </row>
    <row r="52" spans="1:33" ht="15" customHeight="1">
      <c r="A52" s="4" t="s">
        <v>0</v>
      </c>
      <c r="B52" s="72">
        <f>4093.81-477.7-64.6-28.4</f>
        <v>3523.11</v>
      </c>
      <c r="C52" s="72">
        <v>5905.749999999999</v>
      </c>
      <c r="D52" s="67"/>
      <c r="E52" s="67">
        <v>122.7</v>
      </c>
      <c r="F52" s="67">
        <v>705.4</v>
      </c>
      <c r="G52" s="67">
        <v>253.3</v>
      </c>
      <c r="H52" s="67">
        <v>60.7</v>
      </c>
      <c r="I52" s="67"/>
      <c r="J52" s="72">
        <v>1714.7</v>
      </c>
      <c r="K52" s="67">
        <v>422</v>
      </c>
      <c r="L52" s="67">
        <v>91.7</v>
      </c>
      <c r="M52" s="67"/>
      <c r="N52" s="67">
        <v>8</v>
      </c>
      <c r="O52" s="71">
        <v>228.4</v>
      </c>
      <c r="P52" s="67"/>
      <c r="Q52" s="67">
        <v>571.5</v>
      </c>
      <c r="R52" s="67"/>
      <c r="S52" s="72">
        <v>117.8</v>
      </c>
      <c r="T52" s="72">
        <v>450.7</v>
      </c>
      <c r="U52" s="72">
        <f>129.7-39.5</f>
        <v>90.19999999999999</v>
      </c>
      <c r="V52" s="72">
        <v>118.4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4955.499999999999</v>
      </c>
      <c r="AG52" s="72">
        <f aca="true" t="shared" si="11" ref="AG52:AG59">B52+C52-AF52</f>
        <v>4473.36</v>
      </c>
    </row>
    <row r="53" spans="1:33" ht="15" customHeight="1">
      <c r="A53" s="3" t="s">
        <v>2</v>
      </c>
      <c r="B53" s="72">
        <v>911.5</v>
      </c>
      <c r="C53" s="72">
        <f>1205.7-1.9</f>
        <v>1203.8</v>
      </c>
      <c r="D53" s="67"/>
      <c r="E53" s="67">
        <v>87.7</v>
      </c>
      <c r="F53" s="67">
        <v>624.7</v>
      </c>
      <c r="G53" s="67">
        <v>8</v>
      </c>
      <c r="H53" s="67"/>
      <c r="I53" s="67"/>
      <c r="J53" s="72">
        <v>489.4</v>
      </c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>
        <v>90.3</v>
      </c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1300.1000000000001</v>
      </c>
      <c r="AG53" s="72">
        <f t="shared" si="11"/>
        <v>815.2</v>
      </c>
    </row>
    <row r="54" spans="1:34" ht="15" customHeight="1">
      <c r="A54" s="4" t="s">
        <v>9</v>
      </c>
      <c r="B54" s="111">
        <f>1892.75+20</f>
        <v>1912.75</v>
      </c>
      <c r="C54" s="72">
        <v>1858.4000000000005</v>
      </c>
      <c r="D54" s="67"/>
      <c r="E54" s="67">
        <v>235.6</v>
      </c>
      <c r="F54" s="67">
        <v>79.5</v>
      </c>
      <c r="G54" s="67">
        <v>17</v>
      </c>
      <c r="H54" s="67"/>
      <c r="I54" s="67"/>
      <c r="J54" s="72">
        <v>39.8</v>
      </c>
      <c r="K54" s="67"/>
      <c r="L54" s="67">
        <v>858.1</v>
      </c>
      <c r="M54" s="67">
        <v>84.1</v>
      </c>
      <c r="N54" s="67"/>
      <c r="O54" s="71">
        <v>192</v>
      </c>
      <c r="P54" s="67"/>
      <c r="Q54" s="71">
        <v>45</v>
      </c>
      <c r="R54" s="67">
        <v>1.8</v>
      </c>
      <c r="S54" s="72">
        <v>54.3</v>
      </c>
      <c r="T54" s="72">
        <v>18</v>
      </c>
      <c r="U54" s="72">
        <v>6.8</v>
      </c>
      <c r="V54" s="72">
        <v>727.8</v>
      </c>
      <c r="W54" s="72"/>
      <c r="X54" s="67">
        <v>89.8</v>
      </c>
      <c r="Y54" s="72"/>
      <c r="Z54" s="72"/>
      <c r="AA54" s="72"/>
      <c r="AB54" s="67"/>
      <c r="AC54" s="67"/>
      <c r="AD54" s="67"/>
      <c r="AE54" s="67"/>
      <c r="AF54" s="71">
        <f t="shared" si="1"/>
        <v>2449.6</v>
      </c>
      <c r="AG54" s="72">
        <f t="shared" si="11"/>
        <v>1321.5500000000006</v>
      </c>
      <c r="AH54" s="6"/>
    </row>
    <row r="55" spans="1:34" ht="15.75">
      <c r="A55" s="3" t="s">
        <v>5</v>
      </c>
      <c r="B55" s="72">
        <v>1127.4</v>
      </c>
      <c r="C55" s="72">
        <f>280.3</f>
        <v>280.3</v>
      </c>
      <c r="D55" s="67"/>
      <c r="E55" s="67">
        <v>63</v>
      </c>
      <c r="F55" s="67"/>
      <c r="G55" s="67"/>
      <c r="H55" s="67"/>
      <c r="I55" s="67"/>
      <c r="J55" s="72"/>
      <c r="K55" s="67"/>
      <c r="L55" s="67">
        <v>394.6</v>
      </c>
      <c r="M55" s="67"/>
      <c r="N55" s="67"/>
      <c r="O55" s="71"/>
      <c r="P55" s="67"/>
      <c r="Q55" s="71"/>
      <c r="R55" s="67"/>
      <c r="S55" s="72"/>
      <c r="T55" s="72"/>
      <c r="U55" s="72"/>
      <c r="V55" s="72">
        <v>664.3</v>
      </c>
      <c r="W55" s="72"/>
      <c r="X55" s="67">
        <v>89.8</v>
      </c>
      <c r="Y55" s="72"/>
      <c r="Z55" s="72"/>
      <c r="AA55" s="72"/>
      <c r="AB55" s="67"/>
      <c r="AC55" s="67"/>
      <c r="AD55" s="67"/>
      <c r="AE55" s="67"/>
      <c r="AF55" s="71">
        <f t="shared" si="1"/>
        <v>1211.7</v>
      </c>
      <c r="AG55" s="72">
        <f t="shared" si="11"/>
        <v>196</v>
      </c>
      <c r="AH55" s="6"/>
    </row>
    <row r="56" spans="1:34" ht="15" customHeight="1">
      <c r="A56" s="3" t="s">
        <v>1</v>
      </c>
      <c r="B56" s="72">
        <f>32.6</f>
        <v>32.6</v>
      </c>
      <c r="C56" s="72">
        <v>11.5</v>
      </c>
      <c r="D56" s="67"/>
      <c r="E56" s="67"/>
      <c r="F56" s="67"/>
      <c r="G56" s="67"/>
      <c r="H56" s="67"/>
      <c r="I56" s="67"/>
      <c r="J56" s="72"/>
      <c r="K56" s="67"/>
      <c r="L56" s="67">
        <v>11.6</v>
      </c>
      <c r="M56" s="67"/>
      <c r="N56" s="67"/>
      <c r="O56" s="71"/>
      <c r="P56" s="67"/>
      <c r="Q56" s="71"/>
      <c r="R56" s="67"/>
      <c r="S56" s="72">
        <v>32.5</v>
      </c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44.1</v>
      </c>
      <c r="AG56" s="72">
        <f t="shared" si="11"/>
        <v>0</v>
      </c>
      <c r="AH56" s="6"/>
    </row>
    <row r="57" spans="1:33" ht="15.75">
      <c r="A57" s="3" t="s">
        <v>2</v>
      </c>
      <c r="B57" s="70">
        <f>44.1-15</f>
        <v>29.1</v>
      </c>
      <c r="C57" s="72">
        <v>422.7</v>
      </c>
      <c r="D57" s="67"/>
      <c r="E57" s="67"/>
      <c r="F57" s="67"/>
      <c r="G57" s="67">
        <v>11.9</v>
      </c>
      <c r="H57" s="67"/>
      <c r="I57" s="67"/>
      <c r="J57" s="72"/>
      <c r="K57" s="67"/>
      <c r="L57" s="67">
        <v>319.9</v>
      </c>
      <c r="M57" s="67">
        <v>44.3</v>
      </c>
      <c r="N57" s="67"/>
      <c r="O57" s="71"/>
      <c r="P57" s="67"/>
      <c r="Q57" s="71">
        <v>12.2</v>
      </c>
      <c r="R57" s="67"/>
      <c r="S57" s="72"/>
      <c r="T57" s="72">
        <v>0.8</v>
      </c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389.09999999999997</v>
      </c>
      <c r="AG57" s="72">
        <f t="shared" si="11"/>
        <v>62.700000000000045</v>
      </c>
    </row>
    <row r="58" spans="1:33" ht="15.75">
      <c r="A58" s="3" t="s">
        <v>16</v>
      </c>
      <c r="B58" s="70">
        <f>5.1+8.7</f>
        <v>13.799999999999999</v>
      </c>
      <c r="C58" s="72">
        <v>0</v>
      </c>
      <c r="D58" s="67"/>
      <c r="E58" s="67"/>
      <c r="F58" s="67"/>
      <c r="G58" s="67"/>
      <c r="H58" s="67"/>
      <c r="I58" s="67"/>
      <c r="J58" s="72">
        <v>5.1</v>
      </c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>
        <v>8.7</v>
      </c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13.799999999999999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709.8499999999999</v>
      </c>
      <c r="C60" s="72">
        <f t="shared" si="12"/>
        <v>1143.9000000000005</v>
      </c>
      <c r="D60" s="67">
        <f t="shared" si="12"/>
        <v>0</v>
      </c>
      <c r="E60" s="67">
        <f>E54-E55-E57-E59-E56-E58</f>
        <v>172.6</v>
      </c>
      <c r="F60" s="67">
        <f t="shared" si="12"/>
        <v>79.5</v>
      </c>
      <c r="G60" s="67">
        <f t="shared" si="12"/>
        <v>5.1</v>
      </c>
      <c r="H60" s="67">
        <f t="shared" si="12"/>
        <v>0</v>
      </c>
      <c r="I60" s="67">
        <f t="shared" si="12"/>
        <v>0</v>
      </c>
      <c r="J60" s="67">
        <f t="shared" si="12"/>
        <v>34.699999999999996</v>
      </c>
      <c r="K60" s="67">
        <f t="shared" si="12"/>
        <v>0</v>
      </c>
      <c r="L60" s="67">
        <f t="shared" si="12"/>
        <v>132.00000000000003</v>
      </c>
      <c r="M60" s="67">
        <f t="shared" si="12"/>
        <v>39.8</v>
      </c>
      <c r="N60" s="67">
        <f t="shared" si="12"/>
        <v>0</v>
      </c>
      <c r="O60" s="67">
        <f t="shared" si="12"/>
        <v>192</v>
      </c>
      <c r="P60" s="67">
        <f t="shared" si="12"/>
        <v>0</v>
      </c>
      <c r="Q60" s="67">
        <f t="shared" si="12"/>
        <v>32.8</v>
      </c>
      <c r="R60" s="67">
        <f t="shared" si="12"/>
        <v>1.8</v>
      </c>
      <c r="S60" s="67">
        <f t="shared" si="12"/>
        <v>21.799999999999997</v>
      </c>
      <c r="T60" s="67">
        <f t="shared" si="12"/>
        <v>17.2</v>
      </c>
      <c r="U60" s="67">
        <f t="shared" si="12"/>
        <v>6.8</v>
      </c>
      <c r="V60" s="67">
        <f t="shared" si="12"/>
        <v>54.8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790.9</v>
      </c>
      <c r="AG60" s="72">
        <f>AG54-AG55-AG57-AG59-AG56-AG58</f>
        <v>1062.8500000000006</v>
      </c>
    </row>
    <row r="61" spans="1:33" ht="15" customHeight="1">
      <c r="A61" s="4" t="s">
        <v>10</v>
      </c>
      <c r="B61" s="72">
        <v>116.2</v>
      </c>
      <c r="C61" s="72">
        <v>560.0999999999999</v>
      </c>
      <c r="D61" s="67"/>
      <c r="E61" s="67">
        <v>2</v>
      </c>
      <c r="F61" s="67"/>
      <c r="G61" s="67">
        <v>13.7</v>
      </c>
      <c r="H61" s="67"/>
      <c r="I61" s="67">
        <v>10.4</v>
      </c>
      <c r="J61" s="72"/>
      <c r="K61" s="67"/>
      <c r="L61" s="67">
        <v>20.2</v>
      </c>
      <c r="M61" s="67"/>
      <c r="N61" s="67"/>
      <c r="O61" s="71">
        <v>0.7</v>
      </c>
      <c r="P61" s="67"/>
      <c r="Q61" s="71">
        <v>37.4</v>
      </c>
      <c r="R61" s="67"/>
      <c r="S61" s="72"/>
      <c r="T61" s="72"/>
      <c r="U61" s="72"/>
      <c r="V61" s="72"/>
      <c r="W61" s="72">
        <v>27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111.4</v>
      </c>
      <c r="AG61" s="72">
        <f aca="true" t="shared" si="14" ref="AG61:AG67">B61+C61-AF61</f>
        <v>564.9</v>
      </c>
    </row>
    <row r="62" spans="1:33" s="18" customFormat="1" ht="15" customHeight="1">
      <c r="A62" s="108" t="s">
        <v>11</v>
      </c>
      <c r="B62" s="72">
        <f>3502-67.3</f>
        <v>3434.7</v>
      </c>
      <c r="C62" s="72">
        <f>934.8+0.2</f>
        <v>935</v>
      </c>
      <c r="D62" s="72"/>
      <c r="E62" s="72"/>
      <c r="F62" s="72"/>
      <c r="G62" s="72">
        <v>199.5</v>
      </c>
      <c r="H62" s="72"/>
      <c r="I62" s="72"/>
      <c r="J62" s="72"/>
      <c r="K62" s="72">
        <v>143</v>
      </c>
      <c r="L62" s="72">
        <v>723</v>
      </c>
      <c r="M62" s="72"/>
      <c r="N62" s="72">
        <v>110</v>
      </c>
      <c r="O62" s="72">
        <v>244.1</v>
      </c>
      <c r="P62" s="72"/>
      <c r="Q62" s="72">
        <v>18</v>
      </c>
      <c r="R62" s="72"/>
      <c r="S62" s="72">
        <v>99.6</v>
      </c>
      <c r="T62" s="72">
        <v>73.3</v>
      </c>
      <c r="U62" s="72">
        <v>122.1</v>
      </c>
      <c r="V62" s="72">
        <v>1165.1</v>
      </c>
      <c r="W62" s="72">
        <v>12.1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2909.7999999999997</v>
      </c>
      <c r="AG62" s="72">
        <f t="shared" si="14"/>
        <v>1459.9</v>
      </c>
    </row>
    <row r="63" spans="1:34" ht="15.75">
      <c r="A63" s="3" t="s">
        <v>5</v>
      </c>
      <c r="B63" s="72">
        <v>1968.2</v>
      </c>
      <c r="C63" s="72">
        <v>280</v>
      </c>
      <c r="D63" s="67"/>
      <c r="E63" s="67"/>
      <c r="F63" s="67"/>
      <c r="G63" s="67"/>
      <c r="H63" s="67"/>
      <c r="I63" s="67"/>
      <c r="J63" s="72"/>
      <c r="K63" s="67"/>
      <c r="L63" s="67">
        <v>650.1</v>
      </c>
      <c r="M63" s="67"/>
      <c r="N63" s="67"/>
      <c r="O63" s="71"/>
      <c r="P63" s="67"/>
      <c r="Q63" s="71"/>
      <c r="R63" s="67"/>
      <c r="S63" s="72"/>
      <c r="T63" s="72"/>
      <c r="U63" s="72"/>
      <c r="V63" s="72">
        <v>947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1597.1</v>
      </c>
      <c r="AG63" s="72">
        <f t="shared" si="14"/>
        <v>651.0999999999999</v>
      </c>
      <c r="AH63" s="121"/>
    </row>
    <row r="64" spans="1:34" ht="15.7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122.4</v>
      </c>
      <c r="C65" s="72">
        <f>25.9+0.3</f>
        <v>26.2</v>
      </c>
      <c r="D65" s="67"/>
      <c r="E65" s="67"/>
      <c r="F65" s="67"/>
      <c r="G65" s="67">
        <v>30.3</v>
      </c>
      <c r="H65" s="67"/>
      <c r="I65" s="67"/>
      <c r="J65" s="72"/>
      <c r="K65" s="67"/>
      <c r="L65" s="67">
        <v>3.3</v>
      </c>
      <c r="M65" s="67"/>
      <c r="N65" s="67"/>
      <c r="O65" s="71">
        <v>19.2</v>
      </c>
      <c r="P65" s="67"/>
      <c r="Q65" s="71">
        <v>7</v>
      </c>
      <c r="R65" s="67"/>
      <c r="S65" s="72">
        <v>2.9</v>
      </c>
      <c r="T65" s="72">
        <v>21</v>
      </c>
      <c r="U65" s="72"/>
      <c r="V65" s="72">
        <v>4.3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87.99999999999999</v>
      </c>
      <c r="AG65" s="72">
        <f t="shared" si="14"/>
        <v>60.60000000000001</v>
      </c>
      <c r="AH65" s="6"/>
    </row>
    <row r="66" spans="1:33" ht="15.75">
      <c r="A66" s="3" t="s">
        <v>2</v>
      </c>
      <c r="B66" s="72">
        <v>86.2</v>
      </c>
      <c r="C66" s="72">
        <v>73</v>
      </c>
      <c r="D66" s="67"/>
      <c r="E66" s="67"/>
      <c r="F66" s="67"/>
      <c r="G66" s="67">
        <v>6.2</v>
      </c>
      <c r="H66" s="67"/>
      <c r="I66" s="67"/>
      <c r="J66" s="72"/>
      <c r="K66" s="67"/>
      <c r="L66" s="67">
        <v>11.6</v>
      </c>
      <c r="M66" s="67"/>
      <c r="N66" s="67"/>
      <c r="O66" s="71">
        <v>2.1</v>
      </c>
      <c r="P66" s="67"/>
      <c r="Q66" s="67"/>
      <c r="R66" s="67"/>
      <c r="S66" s="72">
        <v>2.4</v>
      </c>
      <c r="T66" s="72">
        <v>24</v>
      </c>
      <c r="U66" s="72">
        <v>0.1</v>
      </c>
      <c r="V66" s="72">
        <v>16.2</v>
      </c>
      <c r="W66" s="72">
        <v>0.5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63.099999999999994</v>
      </c>
      <c r="AG66" s="72">
        <f t="shared" si="14"/>
        <v>96.1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>
        <v>110</v>
      </c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1147.8999999999996</v>
      </c>
      <c r="C68" s="72">
        <f t="shared" si="15"/>
        <v>555.8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163</v>
      </c>
      <c r="H68" s="67">
        <f t="shared" si="15"/>
        <v>0</v>
      </c>
      <c r="I68" s="67">
        <f t="shared" si="15"/>
        <v>0</v>
      </c>
      <c r="J68" s="67">
        <f t="shared" si="15"/>
        <v>0</v>
      </c>
      <c r="K68" s="67">
        <f t="shared" si="15"/>
        <v>143</v>
      </c>
      <c r="L68" s="67">
        <f t="shared" si="15"/>
        <v>57.99999999999998</v>
      </c>
      <c r="M68" s="67">
        <f t="shared" si="15"/>
        <v>0</v>
      </c>
      <c r="N68" s="67">
        <f t="shared" si="15"/>
        <v>0</v>
      </c>
      <c r="O68" s="67">
        <f t="shared" si="15"/>
        <v>222.8</v>
      </c>
      <c r="P68" s="67">
        <f t="shared" si="15"/>
        <v>0</v>
      </c>
      <c r="Q68" s="67">
        <f t="shared" si="15"/>
        <v>11</v>
      </c>
      <c r="R68" s="67">
        <f t="shared" si="15"/>
        <v>0</v>
      </c>
      <c r="S68" s="67">
        <f t="shared" si="15"/>
        <v>94.29999999999998</v>
      </c>
      <c r="T68" s="67">
        <f t="shared" si="15"/>
        <v>28.299999999999997</v>
      </c>
      <c r="U68" s="67">
        <f t="shared" si="15"/>
        <v>122</v>
      </c>
      <c r="V68" s="67">
        <f t="shared" si="15"/>
        <v>197.5999999999999</v>
      </c>
      <c r="W68" s="67">
        <f t="shared" si="15"/>
        <v>11.6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1051.5999999999997</v>
      </c>
      <c r="AG68" s="72">
        <f>AG62-AG63-AG66-AG67-AG65-AG64</f>
        <v>652.1000000000001</v>
      </c>
    </row>
    <row r="69" spans="1:33" ht="31.5">
      <c r="A69" s="4" t="s">
        <v>45</v>
      </c>
      <c r="B69" s="72">
        <f>3329.6+1477.7</f>
        <v>4807.3</v>
      </c>
      <c r="C69" s="72">
        <v>152</v>
      </c>
      <c r="D69" s="67"/>
      <c r="E69" s="67"/>
      <c r="F69" s="67">
        <v>1874.1</v>
      </c>
      <c r="G69" s="67"/>
      <c r="H69" s="67"/>
      <c r="I69" s="67"/>
      <c r="J69" s="72"/>
      <c r="K69" s="67"/>
      <c r="L69" s="67">
        <v>1476.2</v>
      </c>
      <c r="M69" s="67"/>
      <c r="N69" s="67"/>
      <c r="O69" s="67"/>
      <c r="P69" s="67">
        <v>1455.5</v>
      </c>
      <c r="Q69" s="67"/>
      <c r="R69" s="67"/>
      <c r="S69" s="72"/>
      <c r="T69" s="72"/>
      <c r="U69" s="67">
        <v>94.4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4900.2</v>
      </c>
      <c r="AG69" s="130">
        <f aca="true" t="shared" si="16" ref="AG69:AG92">B69+C69-AF69</f>
        <v>59.100000000000364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f>900+28.4</f>
        <v>928.4</v>
      </c>
      <c r="C71" s="80">
        <v>150.44999999999982</v>
      </c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>
        <v>821</v>
      </c>
      <c r="U71" s="80"/>
      <c r="V71" s="80">
        <v>39.5</v>
      </c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860.5</v>
      </c>
      <c r="AG71" s="130">
        <f t="shared" si="16"/>
        <v>218.3499999999999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1021.8-29.7-20-14</f>
        <v>958.0999999999999</v>
      </c>
      <c r="C72" s="72">
        <v>2036.1999999999998</v>
      </c>
      <c r="D72" s="67"/>
      <c r="E72" s="67">
        <v>72.2</v>
      </c>
      <c r="F72" s="67">
        <v>73.1</v>
      </c>
      <c r="G72" s="67">
        <v>54.6</v>
      </c>
      <c r="H72" s="67"/>
      <c r="I72" s="67">
        <v>33.7</v>
      </c>
      <c r="J72" s="72">
        <v>21.2</v>
      </c>
      <c r="K72" s="67">
        <v>30</v>
      </c>
      <c r="L72" s="67">
        <v>8.5</v>
      </c>
      <c r="M72" s="67"/>
      <c r="N72" s="67">
        <v>38.4</v>
      </c>
      <c r="O72" s="67"/>
      <c r="P72" s="67"/>
      <c r="Q72" s="71">
        <v>31.1</v>
      </c>
      <c r="R72" s="67">
        <v>2.5</v>
      </c>
      <c r="S72" s="72">
        <v>6</v>
      </c>
      <c r="T72" s="72">
        <v>50.2</v>
      </c>
      <c r="U72" s="72">
        <v>214.1</v>
      </c>
      <c r="V72" s="72">
        <v>76.4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712</v>
      </c>
      <c r="AG72" s="130">
        <f t="shared" si="16"/>
        <v>2282.2999999999997</v>
      </c>
      <c r="AH72" s="86"/>
    </row>
    <row r="73" spans="1:33" ht="15" customHeight="1">
      <c r="A73" s="3" t="s">
        <v>5</v>
      </c>
      <c r="B73" s="72">
        <v>45.4</v>
      </c>
      <c r="C73" s="72">
        <v>0.100000000000009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>
        <v>45.4</v>
      </c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</row>
    <row r="74" spans="1:33" ht="15" customHeight="1">
      <c r="A74" s="3" t="s">
        <v>2</v>
      </c>
      <c r="B74" s="72">
        <f>90.9+31.8</f>
        <v>122.7</v>
      </c>
      <c r="C74" s="72">
        <f>375.8+0.4</f>
        <v>376.2</v>
      </c>
      <c r="D74" s="67"/>
      <c r="E74" s="67">
        <v>38</v>
      </c>
      <c r="F74" s="67"/>
      <c r="G74" s="67">
        <v>42.5</v>
      </c>
      <c r="H74" s="67"/>
      <c r="I74" s="67">
        <v>0.7</v>
      </c>
      <c r="J74" s="72"/>
      <c r="K74" s="67">
        <v>30</v>
      </c>
      <c r="L74" s="67"/>
      <c r="M74" s="67"/>
      <c r="N74" s="67">
        <v>2</v>
      </c>
      <c r="O74" s="67"/>
      <c r="P74" s="67"/>
      <c r="Q74" s="71">
        <v>27.4</v>
      </c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140.6</v>
      </c>
      <c r="AG74" s="130">
        <f t="shared" si="16"/>
        <v>358.29999999999995</v>
      </c>
    </row>
    <row r="75" spans="1:33" ht="15" customHeight="1">
      <c r="A75" s="3" t="s">
        <v>16</v>
      </c>
      <c r="B75" s="72">
        <f>21.6-20</f>
        <v>1.6000000000000014</v>
      </c>
      <c r="C75" s="72">
        <v>29.199999999999996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130">
        <f t="shared" si="16"/>
        <v>30.799999999999997</v>
      </c>
    </row>
    <row r="76" spans="1:35" s="11" customFormat="1" ht="15.75">
      <c r="A76" s="12" t="s">
        <v>48</v>
      </c>
      <c r="B76" s="72">
        <v>161.56</v>
      </c>
      <c r="C76" s="72">
        <v>479.80000000000007</v>
      </c>
      <c r="D76" s="67"/>
      <c r="E76" s="79"/>
      <c r="F76" s="79">
        <v>5.2</v>
      </c>
      <c r="G76" s="79"/>
      <c r="H76" s="79"/>
      <c r="I76" s="79"/>
      <c r="J76" s="80"/>
      <c r="K76" s="79"/>
      <c r="L76" s="79">
        <v>52.3</v>
      </c>
      <c r="M76" s="79"/>
      <c r="N76" s="79"/>
      <c r="O76" s="79"/>
      <c r="P76" s="79"/>
      <c r="Q76" s="81"/>
      <c r="R76" s="79"/>
      <c r="S76" s="80"/>
      <c r="T76" s="80"/>
      <c r="U76" s="79">
        <v>10.5</v>
      </c>
      <c r="V76" s="79">
        <v>76.8</v>
      </c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144.8</v>
      </c>
      <c r="AG76" s="130">
        <f t="shared" si="16"/>
        <v>496.5600000000001</v>
      </c>
      <c r="AI76" s="128"/>
    </row>
    <row r="77" spans="1:33" s="11" customFormat="1" ht="15.75">
      <c r="A77" s="3" t="s">
        <v>5</v>
      </c>
      <c r="B77" s="72">
        <v>111.1</v>
      </c>
      <c r="C77" s="72">
        <v>9.099999999999966</v>
      </c>
      <c r="D77" s="67"/>
      <c r="E77" s="79"/>
      <c r="F77" s="79">
        <v>4.5</v>
      </c>
      <c r="G77" s="79"/>
      <c r="H77" s="79"/>
      <c r="I77" s="79"/>
      <c r="J77" s="80"/>
      <c r="K77" s="79"/>
      <c r="L77" s="79">
        <v>35.4</v>
      </c>
      <c r="M77" s="79"/>
      <c r="N77" s="79"/>
      <c r="O77" s="79"/>
      <c r="P77" s="79"/>
      <c r="Q77" s="81"/>
      <c r="R77" s="79"/>
      <c r="S77" s="80"/>
      <c r="T77" s="80"/>
      <c r="U77" s="79"/>
      <c r="V77" s="79">
        <v>76.8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116.69999999999999</v>
      </c>
      <c r="AG77" s="130">
        <f t="shared" si="16"/>
        <v>3.4999999999999716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11.900000000000002</v>
      </c>
      <c r="D80" s="67"/>
      <c r="E80" s="79"/>
      <c r="F80" s="79">
        <v>0.7</v>
      </c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/>
      <c r="U80" s="79">
        <v>0.6</v>
      </c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1.2999999999999998</v>
      </c>
      <c r="AG80" s="130">
        <f t="shared" si="16"/>
        <v>11.100000000000001</v>
      </c>
    </row>
    <row r="81" spans="1:33" s="11" customFormat="1" ht="15.7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7.5</v>
      </c>
      <c r="C83" s="80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>
        <v>7.5</v>
      </c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7.5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90</v>
      </c>
      <c r="C88" s="7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5167.2-1000</f>
        <v>4167.2</v>
      </c>
      <c r="C89" s="72">
        <v>5237.2</v>
      </c>
      <c r="D89" s="67"/>
      <c r="E89" s="67"/>
      <c r="F89" s="67"/>
      <c r="G89" s="67">
        <v>572.8</v>
      </c>
      <c r="H89" s="67"/>
      <c r="I89" s="67">
        <v>1034</v>
      </c>
      <c r="J89" s="67"/>
      <c r="K89" s="67"/>
      <c r="L89" s="67"/>
      <c r="M89" s="67"/>
      <c r="N89" s="67">
        <v>62.7</v>
      </c>
      <c r="O89" s="67">
        <v>188.4</v>
      </c>
      <c r="P89" s="67">
        <v>419</v>
      </c>
      <c r="Q89" s="67">
        <v>37.7</v>
      </c>
      <c r="R89" s="67">
        <v>634.6</v>
      </c>
      <c r="S89" s="72">
        <v>518.2</v>
      </c>
      <c r="T89" s="72">
        <v>928.5</v>
      </c>
      <c r="U89" s="67">
        <v>377.6</v>
      </c>
      <c r="V89" s="67"/>
      <c r="W89" s="67"/>
      <c r="X89" s="72">
        <v>1251.3</v>
      </c>
      <c r="Y89" s="72"/>
      <c r="Z89" s="72"/>
      <c r="AA89" s="72"/>
      <c r="AB89" s="67"/>
      <c r="AC89" s="67"/>
      <c r="AD89" s="67"/>
      <c r="AE89" s="67"/>
      <c r="AF89" s="71">
        <f t="shared" si="13"/>
        <v>6024.8</v>
      </c>
      <c r="AG89" s="72">
        <f t="shared" si="16"/>
        <v>3379.5999999999995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>
        <v>1173.1</v>
      </c>
      <c r="Q90" s="67"/>
      <c r="R90" s="67"/>
      <c r="S90" s="72"/>
      <c r="T90" s="72"/>
      <c r="U90" s="67"/>
      <c r="V90" s="67"/>
      <c r="W90" s="67"/>
      <c r="X90" s="72">
        <v>1173.1</v>
      </c>
      <c r="Y90" s="72"/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28323.8+6119.2+1176.4+25887.1</f>
        <v>61506.5</v>
      </c>
      <c r="C92" s="72">
        <f>47588.5-105</f>
        <v>47483.5</v>
      </c>
      <c r="D92" s="67"/>
      <c r="E92" s="67">
        <v>36.9</v>
      </c>
      <c r="F92" s="67">
        <v>5277.5</v>
      </c>
      <c r="G92" s="67"/>
      <c r="H92" s="67">
        <v>291.8</v>
      </c>
      <c r="I92" s="67"/>
      <c r="J92" s="67">
        <v>23.3</v>
      </c>
      <c r="K92" s="67">
        <v>540.8</v>
      </c>
      <c r="L92" s="67"/>
      <c r="M92" s="67">
        <v>832.4</v>
      </c>
      <c r="N92" s="67">
        <v>305.2</v>
      </c>
      <c r="O92" s="67">
        <v>3134.5</v>
      </c>
      <c r="P92" s="67">
        <v>592.9</v>
      </c>
      <c r="Q92" s="67">
        <v>878.5</v>
      </c>
      <c r="R92" s="67">
        <v>3382.3</v>
      </c>
      <c r="S92" s="72">
        <v>14.5</v>
      </c>
      <c r="T92" s="72">
        <v>805.7</v>
      </c>
      <c r="U92" s="67">
        <v>358</v>
      </c>
      <c r="V92" s="67"/>
      <c r="W92" s="67">
        <v>9432.9</v>
      </c>
      <c r="X92" s="72">
        <v>124.1</v>
      </c>
      <c r="Y92" s="72"/>
      <c r="Z92" s="72"/>
      <c r="AA92" s="72"/>
      <c r="AB92" s="67"/>
      <c r="AC92" s="67"/>
      <c r="AD92" s="67"/>
      <c r="AE92" s="67"/>
      <c r="AF92" s="71">
        <f t="shared" si="13"/>
        <v>26031.299999999996</v>
      </c>
      <c r="AG92" s="72">
        <f t="shared" si="16"/>
        <v>82958.70000000001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228148.50999999998</v>
      </c>
      <c r="C94" s="132">
        <f t="shared" si="17"/>
        <v>104315</v>
      </c>
      <c r="D94" s="83">
        <f t="shared" si="17"/>
        <v>94.7</v>
      </c>
      <c r="E94" s="83">
        <f t="shared" si="17"/>
        <v>582.1</v>
      </c>
      <c r="F94" s="83">
        <f t="shared" si="17"/>
        <v>9246.9</v>
      </c>
      <c r="G94" s="83">
        <f t="shared" si="17"/>
        <v>1474.8000000000002</v>
      </c>
      <c r="H94" s="83">
        <f t="shared" si="17"/>
        <v>1442.9</v>
      </c>
      <c r="I94" s="83">
        <f t="shared" si="17"/>
        <v>1395.3</v>
      </c>
      <c r="J94" s="83">
        <f t="shared" si="17"/>
        <v>3508.8</v>
      </c>
      <c r="K94" s="83">
        <f t="shared" si="17"/>
        <v>24447</v>
      </c>
      <c r="L94" s="83">
        <f t="shared" si="17"/>
        <v>24581.999999999996</v>
      </c>
      <c r="M94" s="83">
        <f t="shared" si="17"/>
        <v>1104.1</v>
      </c>
      <c r="N94" s="83">
        <f t="shared" si="17"/>
        <v>619.7</v>
      </c>
      <c r="O94" s="83">
        <f t="shared" si="17"/>
        <v>5249.7</v>
      </c>
      <c r="P94" s="83">
        <f t="shared" si="17"/>
        <v>4330.4</v>
      </c>
      <c r="Q94" s="83">
        <f t="shared" si="17"/>
        <v>4322.1</v>
      </c>
      <c r="R94" s="83">
        <f t="shared" si="17"/>
        <v>5931.6</v>
      </c>
      <c r="S94" s="83">
        <f t="shared" si="17"/>
        <v>1048.5</v>
      </c>
      <c r="T94" s="83">
        <f t="shared" si="17"/>
        <v>3682.6000000000004</v>
      </c>
      <c r="U94" s="83">
        <f t="shared" si="17"/>
        <v>3116.1</v>
      </c>
      <c r="V94" s="83">
        <f t="shared" si="17"/>
        <v>81308.99999999999</v>
      </c>
      <c r="W94" s="83">
        <f t="shared" si="17"/>
        <v>13750.3</v>
      </c>
      <c r="X94" s="83">
        <f t="shared" si="17"/>
        <v>2651.2999999999997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193889.89999999997</v>
      </c>
      <c r="AG94" s="84">
        <f>AG10+AG15+AG24+AG33+AG47+AG52+AG54+AG61+AG62+AG69+AG71+AG72+AG76+AG81+AG82+AG83+AG88+AG89+AG90+AG91+AG70+AG40+AG92</f>
        <v>138573.61000000002</v>
      </c>
    </row>
    <row r="95" spans="1:33" ht="15.75">
      <c r="A95" s="3" t="s">
        <v>5</v>
      </c>
      <c r="B95" s="22">
        <f>B11+B17+B26+B34+B55+B63+B73+B41+B77+B48</f>
        <v>99797.06999999996</v>
      </c>
      <c r="C95" s="109">
        <f aca="true" t="shared" si="18" ref="C95:AD95">C11+C17+C26+C34+C55+C63+C73+C41+C77+C48</f>
        <v>9062.499999999998</v>
      </c>
      <c r="D95" s="67">
        <f t="shared" si="18"/>
        <v>94.7</v>
      </c>
      <c r="E95" s="67">
        <f t="shared" si="18"/>
        <v>66</v>
      </c>
      <c r="F95" s="67">
        <f t="shared" si="18"/>
        <v>228.6</v>
      </c>
      <c r="G95" s="67">
        <f t="shared" si="18"/>
        <v>19.4</v>
      </c>
      <c r="H95" s="67">
        <f t="shared" si="18"/>
        <v>0</v>
      </c>
      <c r="I95" s="67">
        <f t="shared" si="18"/>
        <v>0</v>
      </c>
      <c r="J95" s="67">
        <f t="shared" si="18"/>
        <v>479.7</v>
      </c>
      <c r="K95" s="67">
        <f t="shared" si="18"/>
        <v>10913.1</v>
      </c>
      <c r="L95" s="67">
        <f t="shared" si="18"/>
        <v>17967.3</v>
      </c>
      <c r="M95" s="67">
        <f t="shared" si="18"/>
        <v>0</v>
      </c>
      <c r="N95" s="67">
        <f t="shared" si="18"/>
        <v>0</v>
      </c>
      <c r="O95" s="67">
        <f t="shared" si="18"/>
        <v>112.4</v>
      </c>
      <c r="P95" s="67">
        <f t="shared" si="18"/>
        <v>0</v>
      </c>
      <c r="Q95" s="67">
        <f t="shared" si="18"/>
        <v>0</v>
      </c>
      <c r="R95" s="67">
        <f t="shared" si="18"/>
        <v>93.9</v>
      </c>
      <c r="S95" s="67">
        <f t="shared" si="18"/>
        <v>49.8</v>
      </c>
      <c r="T95" s="67">
        <f t="shared" si="18"/>
        <v>185</v>
      </c>
      <c r="U95" s="67">
        <f t="shared" si="18"/>
        <v>0.7</v>
      </c>
      <c r="V95" s="67">
        <f t="shared" si="18"/>
        <v>60219.40000000001</v>
      </c>
      <c r="W95" s="67">
        <f t="shared" si="18"/>
        <v>3525.9</v>
      </c>
      <c r="X95" s="67">
        <f t="shared" si="18"/>
        <v>89.8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94045.70000000001</v>
      </c>
      <c r="AG95" s="71">
        <f>B95+C95-AF95</f>
        <v>14813.869999999952</v>
      </c>
    </row>
    <row r="96" spans="1:33" ht="15.75">
      <c r="A96" s="3" t="s">
        <v>2</v>
      </c>
      <c r="B96" s="22">
        <f aca="true" t="shared" si="19" ref="B96:AD96">B12+B20+B29+B36+B57+B66+B44+B80+B74+B53</f>
        <v>3006.5</v>
      </c>
      <c r="C96" s="109">
        <f t="shared" si="19"/>
        <v>8154.2</v>
      </c>
      <c r="D96" s="67">
        <f t="shared" si="19"/>
        <v>0</v>
      </c>
      <c r="E96" s="67">
        <f t="shared" si="19"/>
        <v>125.7</v>
      </c>
      <c r="F96" s="67">
        <f t="shared" si="19"/>
        <v>732.7</v>
      </c>
      <c r="G96" s="67">
        <f t="shared" si="19"/>
        <v>269.2</v>
      </c>
      <c r="H96" s="67">
        <f t="shared" si="19"/>
        <v>922.7</v>
      </c>
      <c r="I96" s="67">
        <f t="shared" si="19"/>
        <v>7.7</v>
      </c>
      <c r="J96" s="67">
        <f t="shared" si="19"/>
        <v>489.4</v>
      </c>
      <c r="K96" s="67">
        <f t="shared" si="19"/>
        <v>31.3</v>
      </c>
      <c r="L96" s="67">
        <f t="shared" si="19"/>
        <v>1575.7</v>
      </c>
      <c r="M96" s="67">
        <f t="shared" si="19"/>
        <v>53.9</v>
      </c>
      <c r="N96" s="67">
        <f t="shared" si="19"/>
        <v>2</v>
      </c>
      <c r="O96" s="67">
        <f t="shared" si="19"/>
        <v>2.1</v>
      </c>
      <c r="P96" s="67">
        <f t="shared" si="19"/>
        <v>0</v>
      </c>
      <c r="Q96" s="67">
        <f t="shared" si="19"/>
        <v>1446.7</v>
      </c>
      <c r="R96" s="67">
        <f t="shared" si="19"/>
        <v>442.9</v>
      </c>
      <c r="S96" s="67">
        <f t="shared" si="19"/>
        <v>115.9</v>
      </c>
      <c r="T96" s="67">
        <f t="shared" si="19"/>
        <v>42</v>
      </c>
      <c r="U96" s="67">
        <f t="shared" si="19"/>
        <v>1029.6000000000001</v>
      </c>
      <c r="V96" s="67">
        <f t="shared" si="19"/>
        <v>739.3000000000001</v>
      </c>
      <c r="W96" s="67">
        <f t="shared" si="19"/>
        <v>0.5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8029.3</v>
      </c>
      <c r="AG96" s="71">
        <f>B96+C96-AF96</f>
        <v>3131.4000000000005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22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4.1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3.6</v>
      </c>
      <c r="S97" s="67">
        <f t="shared" si="20"/>
        <v>0</v>
      </c>
      <c r="T97" s="67">
        <f t="shared" si="20"/>
        <v>0</v>
      </c>
      <c r="U97" s="67">
        <f t="shared" si="20"/>
        <v>0.3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7.999999999999999</v>
      </c>
      <c r="AG97" s="71">
        <f>B97+C97-AF97</f>
        <v>14</v>
      </c>
    </row>
    <row r="98" spans="1:33" ht="15.75">
      <c r="A98" s="3" t="s">
        <v>1</v>
      </c>
      <c r="B98" s="22">
        <f aca="true" t="shared" si="21" ref="B98:AD98">B19+B28+B65+B35+B43+B56+B79</f>
        <v>5474.6</v>
      </c>
      <c r="C98" s="109">
        <f t="shared" si="21"/>
        <v>6903.6</v>
      </c>
      <c r="D98" s="67">
        <f t="shared" si="21"/>
        <v>0</v>
      </c>
      <c r="E98" s="67">
        <f t="shared" si="21"/>
        <v>0</v>
      </c>
      <c r="F98" s="67">
        <f t="shared" si="21"/>
        <v>256.9</v>
      </c>
      <c r="G98" s="67">
        <f t="shared" si="21"/>
        <v>30.3</v>
      </c>
      <c r="H98" s="67">
        <f t="shared" si="21"/>
        <v>0</v>
      </c>
      <c r="I98" s="67">
        <f t="shared" si="21"/>
        <v>2.7</v>
      </c>
      <c r="J98" s="67">
        <f t="shared" si="21"/>
        <v>0</v>
      </c>
      <c r="K98" s="67">
        <f t="shared" si="21"/>
        <v>0</v>
      </c>
      <c r="L98" s="67">
        <f t="shared" si="21"/>
        <v>626.2</v>
      </c>
      <c r="M98" s="67">
        <f t="shared" si="21"/>
        <v>33.3</v>
      </c>
      <c r="N98" s="67">
        <f t="shared" si="21"/>
        <v>0</v>
      </c>
      <c r="O98" s="67">
        <f t="shared" si="21"/>
        <v>19.2</v>
      </c>
      <c r="P98" s="67">
        <f t="shared" si="21"/>
        <v>0</v>
      </c>
      <c r="Q98" s="67">
        <f t="shared" si="21"/>
        <v>558.7</v>
      </c>
      <c r="R98" s="67">
        <f t="shared" si="21"/>
        <v>33.6</v>
      </c>
      <c r="S98" s="67">
        <f t="shared" si="21"/>
        <v>35.4</v>
      </c>
      <c r="T98" s="67">
        <f t="shared" si="21"/>
        <v>21</v>
      </c>
      <c r="U98" s="67">
        <f t="shared" si="21"/>
        <v>295.5</v>
      </c>
      <c r="V98" s="67">
        <f t="shared" si="21"/>
        <v>3725.9</v>
      </c>
      <c r="W98" s="67">
        <f t="shared" si="21"/>
        <v>217.4</v>
      </c>
      <c r="X98" s="67">
        <f t="shared" si="21"/>
        <v>0.3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5856.400000000001</v>
      </c>
      <c r="AG98" s="71">
        <f>B98+C98-AF98</f>
        <v>6521.8</v>
      </c>
    </row>
    <row r="99" spans="1:33" ht="15.75">
      <c r="A99" s="3" t="s">
        <v>16</v>
      </c>
      <c r="B99" s="22">
        <f aca="true" t="shared" si="22" ref="B99:X99">B21+B30+B49+B37+B58+B13+B75+B67</f>
        <v>2741.47</v>
      </c>
      <c r="C99" s="109">
        <f t="shared" si="22"/>
        <v>620.2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24.900000000000002</v>
      </c>
      <c r="H99" s="67">
        <f t="shared" si="22"/>
        <v>32.7</v>
      </c>
      <c r="I99" s="67">
        <f t="shared" si="22"/>
        <v>179.1</v>
      </c>
      <c r="J99" s="67">
        <f t="shared" si="22"/>
        <v>5.1</v>
      </c>
      <c r="K99" s="67">
        <f t="shared" si="22"/>
        <v>138.8</v>
      </c>
      <c r="L99" s="67">
        <f t="shared" si="22"/>
        <v>1.8</v>
      </c>
      <c r="M99" s="67">
        <f t="shared" si="22"/>
        <v>39</v>
      </c>
      <c r="N99" s="67">
        <f t="shared" si="22"/>
        <v>202.5</v>
      </c>
      <c r="O99" s="67">
        <f t="shared" si="22"/>
        <v>1.8</v>
      </c>
      <c r="P99" s="67">
        <f t="shared" si="22"/>
        <v>563.9</v>
      </c>
      <c r="Q99" s="67">
        <f t="shared" si="22"/>
        <v>62.8</v>
      </c>
      <c r="R99" s="67">
        <f t="shared" si="22"/>
        <v>490.9</v>
      </c>
      <c r="S99" s="67">
        <f t="shared" si="22"/>
        <v>35</v>
      </c>
      <c r="T99" s="67">
        <f t="shared" si="22"/>
        <v>1.8</v>
      </c>
      <c r="U99" s="67">
        <f t="shared" si="22"/>
        <v>282.3</v>
      </c>
      <c r="V99" s="67">
        <f t="shared" si="22"/>
        <v>8.7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2071.0999999999995</v>
      </c>
      <c r="AG99" s="71">
        <f>B99+C99-AF99</f>
        <v>1290.5700000000006</v>
      </c>
    </row>
    <row r="100" spans="1:33" ht="12.75">
      <c r="A100" s="1" t="s">
        <v>35</v>
      </c>
      <c r="B100" s="2">
        <f aca="true" t="shared" si="24" ref="B100:AD100">B94-B95-B96-B97-B98-B99</f>
        <v>117128.87000000001</v>
      </c>
      <c r="C100" s="20">
        <f t="shared" si="24"/>
        <v>79552.5</v>
      </c>
      <c r="D100" s="85">
        <f t="shared" si="24"/>
        <v>0</v>
      </c>
      <c r="E100" s="85">
        <f t="shared" si="24"/>
        <v>390.40000000000003</v>
      </c>
      <c r="F100" s="85">
        <f t="shared" si="24"/>
        <v>8028.699999999999</v>
      </c>
      <c r="G100" s="85">
        <f t="shared" si="24"/>
        <v>1131</v>
      </c>
      <c r="H100" s="85">
        <f t="shared" si="24"/>
        <v>487.50000000000006</v>
      </c>
      <c r="I100" s="85">
        <f t="shared" si="24"/>
        <v>1205.8</v>
      </c>
      <c r="J100" s="85">
        <f t="shared" si="24"/>
        <v>2534.6000000000004</v>
      </c>
      <c r="K100" s="85">
        <f t="shared" si="24"/>
        <v>13363.800000000001</v>
      </c>
      <c r="L100" s="85">
        <f t="shared" si="24"/>
        <v>4406.899999999997</v>
      </c>
      <c r="M100" s="85">
        <f t="shared" si="24"/>
        <v>977.8999999999999</v>
      </c>
      <c r="N100" s="85">
        <f t="shared" si="24"/>
        <v>415.20000000000005</v>
      </c>
      <c r="O100" s="85">
        <f t="shared" si="24"/>
        <v>5114.2</v>
      </c>
      <c r="P100" s="85">
        <f t="shared" si="24"/>
        <v>3766.4999999999995</v>
      </c>
      <c r="Q100" s="85">
        <f t="shared" si="24"/>
        <v>2253.9000000000005</v>
      </c>
      <c r="R100" s="85">
        <f t="shared" si="24"/>
        <v>4866.700000000001</v>
      </c>
      <c r="S100" s="85">
        <f t="shared" si="24"/>
        <v>812.4000000000001</v>
      </c>
      <c r="T100" s="85">
        <f t="shared" si="24"/>
        <v>3432.8</v>
      </c>
      <c r="U100" s="85">
        <f t="shared" si="24"/>
        <v>1507.7</v>
      </c>
      <c r="V100" s="85">
        <f t="shared" si="24"/>
        <v>16615.699999999975</v>
      </c>
      <c r="W100" s="85">
        <f t="shared" si="24"/>
        <v>10006.5</v>
      </c>
      <c r="X100" s="85">
        <f t="shared" si="24"/>
        <v>2561.1999999999994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83879.39999999995</v>
      </c>
      <c r="AG100" s="85">
        <f>AG94-AG95-AG96-AG97-AG98-AG99</f>
        <v>112801.97000000006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4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71" sqref="AG7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18" bestFit="1" customWidth="1"/>
    <col min="13" max="13" width="9.00390625" style="0" customWidth="1"/>
    <col min="14" max="14" width="8.25390625" style="0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0" t="s">
        <v>12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</row>
    <row r="2" spans="1:33" ht="22.5" customHeight="1">
      <c r="A2" s="161" t="s">
        <v>64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65</v>
      </c>
      <c r="C4" s="90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19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25</v>
      </c>
      <c r="V4" s="8">
        <v>26</v>
      </c>
      <c r="W4" s="8">
        <v>27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70076.75</v>
      </c>
      <c r="C7" s="129">
        <v>12221.800000000007</v>
      </c>
      <c r="D7" s="38"/>
      <c r="E7" s="38">
        <v>35038.4</v>
      </c>
      <c r="F7" s="38"/>
      <c r="G7" s="38"/>
      <c r="H7" s="56"/>
      <c r="I7" s="38"/>
      <c r="J7" s="39"/>
      <c r="K7" s="38">
        <v>35038.35</v>
      </c>
      <c r="L7" s="39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9399.550000000014</v>
      </c>
      <c r="AF7" s="54"/>
      <c r="AG7" s="40"/>
    </row>
    <row r="8" spans="1:55" ht="18" customHeight="1">
      <c r="A8" s="47" t="s">
        <v>30</v>
      </c>
      <c r="B8" s="33">
        <f>SUM(E8:AB8)</f>
        <v>111622.90000000001</v>
      </c>
      <c r="C8" s="103">
        <f>157976.37+277.8</f>
        <v>158254.16999999998</v>
      </c>
      <c r="D8" s="59">
        <v>12815.7</v>
      </c>
      <c r="E8" s="60">
        <v>3929.8</v>
      </c>
      <c r="F8" s="137">
        <v>3302.3</v>
      </c>
      <c r="G8" s="137">
        <v>4842.4</v>
      </c>
      <c r="H8" s="137">
        <v>6256.3</v>
      </c>
      <c r="I8" s="137">
        <v>13986</v>
      </c>
      <c r="J8" s="138">
        <v>2877.6</v>
      </c>
      <c r="K8" s="138">
        <v>1864.4</v>
      </c>
      <c r="L8" s="138">
        <v>1964.4</v>
      </c>
      <c r="M8" s="137">
        <v>1986.4</v>
      </c>
      <c r="N8" s="137">
        <v>8596.5</v>
      </c>
      <c r="O8" s="137">
        <v>10134.4</v>
      </c>
      <c r="P8" s="137">
        <v>3382.8</v>
      </c>
      <c r="Q8" s="137">
        <v>5041.6</v>
      </c>
      <c r="R8" s="137">
        <v>5968.4</v>
      </c>
      <c r="S8" s="63">
        <v>3994</v>
      </c>
      <c r="T8" s="63">
        <v>9560.2</v>
      </c>
      <c r="U8" s="61">
        <v>1781.6</v>
      </c>
      <c r="V8" s="61">
        <v>6419.1</v>
      </c>
      <c r="W8" s="61">
        <v>15734.7</v>
      </c>
      <c r="X8" s="62"/>
      <c r="Y8" s="62"/>
      <c r="Z8" s="62"/>
      <c r="AA8" s="62"/>
      <c r="AB8" s="61"/>
      <c r="AC8" s="64"/>
      <c r="AD8" s="64"/>
      <c r="AE8" s="65">
        <f>SUM(D8:AD8)+C8-AF9+AF16+AF25</f>
        <v>101164.67000000004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220161.68999999997</v>
      </c>
      <c r="C9" s="104">
        <f aca="true" t="shared" si="0" ref="C9:AD9">C10+C15+C24+C33+C47+C52+C54+C61+C62+C71+C72+C88+C76+C81+C83+C82+C69+C89+C90+C91+C70+C40+C92</f>
        <v>138305.31</v>
      </c>
      <c r="D9" s="68">
        <f t="shared" si="0"/>
        <v>4329</v>
      </c>
      <c r="E9" s="68">
        <f t="shared" si="0"/>
        <v>3929.8</v>
      </c>
      <c r="F9" s="68">
        <f t="shared" si="0"/>
        <v>8537.099999999999</v>
      </c>
      <c r="G9" s="68">
        <f t="shared" si="0"/>
        <v>3509.3</v>
      </c>
      <c r="H9" s="68">
        <f t="shared" si="0"/>
        <v>3306</v>
      </c>
      <c r="I9" s="68">
        <f t="shared" si="0"/>
        <v>7949.899999999999</v>
      </c>
      <c r="J9" s="104">
        <f t="shared" si="0"/>
        <v>1063.1</v>
      </c>
      <c r="K9" s="68">
        <f t="shared" si="0"/>
        <v>50999.70000000001</v>
      </c>
      <c r="L9" s="104">
        <f>L10+L15+L24+L33+L47+L52+L54+L61+L62+L71+L72+L88+L76+L81+L83+L82+L69+L89+L90+L91+L70+L40+L92</f>
        <v>33069.1</v>
      </c>
      <c r="M9" s="68">
        <f t="shared" si="0"/>
        <v>6382.299999999999</v>
      </c>
      <c r="N9" s="68">
        <f t="shared" si="0"/>
        <v>4259.8</v>
      </c>
      <c r="O9" s="68">
        <f t="shared" si="0"/>
        <v>4464.099999999999</v>
      </c>
      <c r="P9" s="68">
        <f t="shared" si="0"/>
        <v>4799.5</v>
      </c>
      <c r="Q9" s="68">
        <f t="shared" si="0"/>
        <v>13241.599999999999</v>
      </c>
      <c r="R9" s="68">
        <f t="shared" si="0"/>
        <v>5025.700000000001</v>
      </c>
      <c r="S9" s="68">
        <f t="shared" si="0"/>
        <v>5164.5</v>
      </c>
      <c r="T9" s="68">
        <f t="shared" si="0"/>
        <v>14072.5</v>
      </c>
      <c r="U9" s="68">
        <f t="shared" si="0"/>
        <v>74054.29999999999</v>
      </c>
      <c r="V9" s="68">
        <f t="shared" si="0"/>
        <v>4994.299999999999</v>
      </c>
      <c r="W9" s="68">
        <f t="shared" si="0"/>
        <v>1275.4999999999998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254427.09999999998</v>
      </c>
      <c r="AG9" s="69">
        <f>AG10+AG15+AG24+AG33+AG47+AG52+AG54+AG61+AG62+AG71+AG72+AG76+AG88+AG81+AG83+AG82+AG69+AG89+AG91+AG90+AG70+AG40+AG92</f>
        <v>104039.9</v>
      </c>
      <c r="AH9" s="41"/>
      <c r="AI9" s="41"/>
    </row>
    <row r="10" spans="1:34" ht="15.75">
      <c r="A10" s="4" t="s">
        <v>4</v>
      </c>
      <c r="B10" s="72">
        <f>20114.7+50+40</f>
        <v>20204.7</v>
      </c>
      <c r="C10" s="72">
        <f>4909.5-21.9+1.8</f>
        <v>4889.400000000001</v>
      </c>
      <c r="D10" s="67">
        <v>153</v>
      </c>
      <c r="E10" s="67">
        <v>196.5</v>
      </c>
      <c r="F10" s="67">
        <v>207.7</v>
      </c>
      <c r="G10" s="67">
        <v>83.5</v>
      </c>
      <c r="H10" s="67">
        <v>422.8</v>
      </c>
      <c r="I10" s="67">
        <v>45.8</v>
      </c>
      <c r="J10" s="70">
        <v>67.5</v>
      </c>
      <c r="K10" s="67">
        <v>24.3</v>
      </c>
      <c r="L10" s="72">
        <v>5644.4</v>
      </c>
      <c r="M10" s="67">
        <v>1466.6</v>
      </c>
      <c r="N10" s="67">
        <v>1.9</v>
      </c>
      <c r="O10" s="71">
        <v>23.8</v>
      </c>
      <c r="P10" s="67">
        <f>75.8+29.5</f>
        <v>105.3</v>
      </c>
      <c r="Q10" s="67">
        <v>145.5</v>
      </c>
      <c r="R10" s="67">
        <v>35.5</v>
      </c>
      <c r="S10" s="72">
        <v>168.2</v>
      </c>
      <c r="T10" s="72">
        <v>0.5</v>
      </c>
      <c r="U10" s="72">
        <v>8904.5</v>
      </c>
      <c r="V10" s="72">
        <v>2446.7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>SUM(D10:AD10)</f>
        <v>20144</v>
      </c>
      <c r="AG10" s="72">
        <f>B10+C10-AF10</f>
        <v>4950.100000000002</v>
      </c>
      <c r="AH10" s="18"/>
    </row>
    <row r="11" spans="1:34" ht="15.75">
      <c r="A11" s="3" t="s">
        <v>5</v>
      </c>
      <c r="B11" s="72">
        <f>17567.8+45.2+122+9.3</f>
        <v>17744.3</v>
      </c>
      <c r="C11" s="72">
        <f>3568.72-0.3</f>
        <v>3568.4199999999996</v>
      </c>
      <c r="D11" s="67">
        <v>153</v>
      </c>
      <c r="E11" s="67"/>
      <c r="F11" s="67">
        <v>183</v>
      </c>
      <c r="G11" s="67">
        <v>52.5</v>
      </c>
      <c r="H11" s="67">
        <v>379.4</v>
      </c>
      <c r="I11" s="67"/>
      <c r="J11" s="72"/>
      <c r="K11" s="67"/>
      <c r="L11" s="72">
        <v>5626.9</v>
      </c>
      <c r="M11" s="67">
        <v>1226.3</v>
      </c>
      <c r="N11" s="67"/>
      <c r="O11" s="71"/>
      <c r="P11" s="67">
        <v>75.8</v>
      </c>
      <c r="Q11" s="67">
        <v>42.1</v>
      </c>
      <c r="R11" s="67"/>
      <c r="S11" s="72">
        <v>13.7</v>
      </c>
      <c r="T11" s="72"/>
      <c r="U11" s="72">
        <v>8887.9</v>
      </c>
      <c r="V11" s="72">
        <v>2393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19033.6</v>
      </c>
      <c r="AG11" s="72">
        <f>B11+C11-AF11</f>
        <v>2279.119999999999</v>
      </c>
      <c r="AH11" s="18"/>
    </row>
    <row r="12" spans="1:34" ht="15.75">
      <c r="A12" s="3" t="s">
        <v>2</v>
      </c>
      <c r="B12" s="70">
        <v>98.2</v>
      </c>
      <c r="C12" s="72">
        <v>230.2</v>
      </c>
      <c r="D12" s="67"/>
      <c r="E12" s="67">
        <v>21</v>
      </c>
      <c r="F12" s="67"/>
      <c r="G12" s="67"/>
      <c r="H12" s="67"/>
      <c r="I12" s="67"/>
      <c r="J12" s="72"/>
      <c r="K12" s="67"/>
      <c r="L12" s="72"/>
      <c r="M12" s="67">
        <v>0.9</v>
      </c>
      <c r="N12" s="67"/>
      <c r="O12" s="71"/>
      <c r="P12" s="67"/>
      <c r="Q12" s="67"/>
      <c r="R12" s="67"/>
      <c r="S12" s="72"/>
      <c r="T12" s="72"/>
      <c r="U12" s="72"/>
      <c r="V12" s="72">
        <v>36.8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58.699999999999996</v>
      </c>
      <c r="AG12" s="72">
        <f>B12+C12-AF12</f>
        <v>269.7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2362.2000000000016</v>
      </c>
      <c r="C14" s="72">
        <f t="shared" si="2"/>
        <v>1090.7800000000009</v>
      </c>
      <c r="D14" s="67">
        <f t="shared" si="2"/>
        <v>0</v>
      </c>
      <c r="E14" s="67">
        <f t="shared" si="2"/>
        <v>175.5</v>
      </c>
      <c r="F14" s="67">
        <f t="shared" si="2"/>
        <v>24.69999999999999</v>
      </c>
      <c r="G14" s="67">
        <f t="shared" si="2"/>
        <v>31</v>
      </c>
      <c r="H14" s="67">
        <f t="shared" si="2"/>
        <v>43.400000000000034</v>
      </c>
      <c r="I14" s="67">
        <f t="shared" si="2"/>
        <v>45.8</v>
      </c>
      <c r="J14" s="72">
        <f t="shared" si="2"/>
        <v>67.5</v>
      </c>
      <c r="K14" s="67">
        <f t="shared" si="2"/>
        <v>24.3</v>
      </c>
      <c r="L14" s="72">
        <f t="shared" si="2"/>
        <v>17.5</v>
      </c>
      <c r="M14" s="67">
        <f t="shared" si="2"/>
        <v>239.39999999999995</v>
      </c>
      <c r="N14" s="67">
        <f t="shared" si="2"/>
        <v>1.9</v>
      </c>
      <c r="O14" s="67">
        <f t="shared" si="2"/>
        <v>23.8</v>
      </c>
      <c r="P14" s="67">
        <f t="shared" si="2"/>
        <v>29.5</v>
      </c>
      <c r="Q14" s="67">
        <f t="shared" si="2"/>
        <v>103.4</v>
      </c>
      <c r="R14" s="67">
        <f t="shared" si="2"/>
        <v>35.5</v>
      </c>
      <c r="S14" s="67">
        <f t="shared" si="2"/>
        <v>154.5</v>
      </c>
      <c r="T14" s="67">
        <f t="shared" si="2"/>
        <v>0.5</v>
      </c>
      <c r="U14" s="67">
        <f t="shared" si="2"/>
        <v>16.600000000000364</v>
      </c>
      <c r="V14" s="67">
        <f t="shared" si="2"/>
        <v>16.89999999999982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1051.7</v>
      </c>
      <c r="AG14" s="72">
        <f>AG10-AG11-AG12-AG13</f>
        <v>2401.2800000000034</v>
      </c>
      <c r="AH14" s="18"/>
    </row>
    <row r="15" spans="1:35" ht="15" customHeight="1">
      <c r="A15" s="4" t="s">
        <v>6</v>
      </c>
      <c r="B15" s="72">
        <f>112819.9+20.8</f>
        <v>112840.7</v>
      </c>
      <c r="C15" s="72">
        <f>25089.2-0.3</f>
        <v>25088.9</v>
      </c>
      <c r="D15" s="73"/>
      <c r="E15" s="73">
        <v>82</v>
      </c>
      <c r="F15" s="67">
        <f>278.2+3644</f>
        <v>3922.2</v>
      </c>
      <c r="G15" s="67">
        <v>19.8</v>
      </c>
      <c r="H15" s="67">
        <v>76</v>
      </c>
      <c r="I15" s="67">
        <v>1002.9</v>
      </c>
      <c r="J15" s="72">
        <v>178.6</v>
      </c>
      <c r="K15" s="67">
        <f>57.8+36528.9</f>
        <v>36586.700000000004</v>
      </c>
      <c r="L15" s="72">
        <v>19640.2</v>
      </c>
      <c r="M15" s="67">
        <v>667.4</v>
      </c>
      <c r="N15" s="67">
        <v>627.6</v>
      </c>
      <c r="O15" s="71">
        <v>59.4</v>
      </c>
      <c r="P15" s="67">
        <v>862.1</v>
      </c>
      <c r="Q15" s="71">
        <v>361.5</v>
      </c>
      <c r="R15" s="67">
        <v>807</v>
      </c>
      <c r="S15" s="72">
        <v>809.7</v>
      </c>
      <c r="T15" s="72">
        <v>215</v>
      </c>
      <c r="U15" s="72">
        <f>31363.2+8511.9</f>
        <v>39875.1</v>
      </c>
      <c r="V15" s="72">
        <f>2.4-0.5</f>
        <v>1.9</v>
      </c>
      <c r="W15" s="72">
        <v>-1.1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105794</v>
      </c>
      <c r="AG15" s="72">
        <f aca="true" t="shared" si="3" ref="AG15:AG31">B15+C15-AF15</f>
        <v>32135.600000000006</v>
      </c>
      <c r="AH15" s="18"/>
      <c r="AI15" s="86"/>
    </row>
    <row r="16" spans="1:34" s="53" customFormat="1" ht="15" customHeight="1">
      <c r="A16" s="51" t="s">
        <v>38</v>
      </c>
      <c r="B16" s="76">
        <v>48073.8</v>
      </c>
      <c r="C16" s="76">
        <v>4108.5999999999985</v>
      </c>
      <c r="D16" s="74"/>
      <c r="E16" s="74"/>
      <c r="F16" s="75">
        <v>3644</v>
      </c>
      <c r="G16" s="75"/>
      <c r="H16" s="75"/>
      <c r="I16" s="75"/>
      <c r="J16" s="76"/>
      <c r="K16" s="75">
        <v>36528.9</v>
      </c>
      <c r="L16" s="76"/>
      <c r="M16" s="75"/>
      <c r="N16" s="75"/>
      <c r="O16" s="77"/>
      <c r="P16" s="75"/>
      <c r="Q16" s="77"/>
      <c r="R16" s="75"/>
      <c r="S16" s="76"/>
      <c r="T16" s="76"/>
      <c r="U16" s="76">
        <v>8511.9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48684.8</v>
      </c>
      <c r="AG16" s="115">
        <f t="shared" si="3"/>
        <v>3497.5999999999985</v>
      </c>
      <c r="AH16" s="116"/>
    </row>
    <row r="17" spans="1:34" ht="15.75">
      <c r="A17" s="3" t="s">
        <v>5</v>
      </c>
      <c r="B17" s="72">
        <f>103254.4+97.3</f>
        <v>103351.7</v>
      </c>
      <c r="C17" s="72">
        <f>10237.3+0.1</f>
        <v>10237.4</v>
      </c>
      <c r="D17" s="67"/>
      <c r="E17" s="67"/>
      <c r="F17" s="67">
        <f>3644+211.9</f>
        <v>3855.9</v>
      </c>
      <c r="G17" s="67"/>
      <c r="H17" s="67"/>
      <c r="I17" s="67"/>
      <c r="J17" s="72"/>
      <c r="K17" s="67">
        <v>36528.9</v>
      </c>
      <c r="L17" s="72">
        <v>19638.7</v>
      </c>
      <c r="M17" s="67"/>
      <c r="N17" s="67"/>
      <c r="O17" s="71"/>
      <c r="P17" s="67"/>
      <c r="Q17" s="71"/>
      <c r="R17" s="67">
        <v>2</v>
      </c>
      <c r="S17" s="72"/>
      <c r="T17" s="72"/>
      <c r="U17" s="72">
        <f>31336+8511.9</f>
        <v>39847.9</v>
      </c>
      <c r="V17" s="72">
        <v>2.3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99875.7</v>
      </c>
      <c r="AG17" s="72">
        <f t="shared" si="3"/>
        <v>13713.399999999994</v>
      </c>
      <c r="AH17" s="21"/>
    </row>
    <row r="18" spans="1:34" ht="15.75">
      <c r="A18" s="3" t="s">
        <v>3</v>
      </c>
      <c r="B18" s="72">
        <v>0</v>
      </c>
      <c r="C18" s="72">
        <f>13.2-0.3</f>
        <v>12.899999999999999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/>
      <c r="O18" s="71"/>
      <c r="P18" s="67"/>
      <c r="Q18" s="71"/>
      <c r="R18" s="67">
        <v>3.4</v>
      </c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3.4</v>
      </c>
      <c r="AG18" s="72">
        <f t="shared" si="3"/>
        <v>9.499999999999998</v>
      </c>
      <c r="AH18" s="18"/>
    </row>
    <row r="19" spans="1:34" ht="15.75">
      <c r="A19" s="3" t="s">
        <v>1</v>
      </c>
      <c r="B19" s="72">
        <f>3146.4+12.6</f>
        <v>3159</v>
      </c>
      <c r="C19" s="72">
        <f>6448.1-0.3</f>
        <v>6447.8</v>
      </c>
      <c r="D19" s="67"/>
      <c r="E19" s="67">
        <v>69.8</v>
      </c>
      <c r="F19" s="67"/>
      <c r="G19" s="67">
        <v>0.8</v>
      </c>
      <c r="H19" s="67">
        <v>49.9</v>
      </c>
      <c r="I19" s="67">
        <v>377.2</v>
      </c>
      <c r="J19" s="72">
        <v>2.2</v>
      </c>
      <c r="K19" s="67"/>
      <c r="L19" s="72"/>
      <c r="M19" s="67">
        <v>83.3</v>
      </c>
      <c r="N19" s="67">
        <v>20.3</v>
      </c>
      <c r="O19" s="71">
        <v>19.4</v>
      </c>
      <c r="P19" s="67"/>
      <c r="Q19" s="71"/>
      <c r="R19" s="67">
        <v>61.4</v>
      </c>
      <c r="S19" s="72">
        <v>113.3</v>
      </c>
      <c r="T19" s="72">
        <v>79.3</v>
      </c>
      <c r="U19" s="72">
        <v>1.8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878.6999999999997</v>
      </c>
      <c r="AG19" s="72">
        <f t="shared" si="3"/>
        <v>8728.1</v>
      </c>
      <c r="AH19" s="18"/>
    </row>
    <row r="20" spans="1:34" ht="15.75">
      <c r="A20" s="3" t="s">
        <v>2</v>
      </c>
      <c r="B20" s="72">
        <f>1460.1-97.3</f>
        <v>1362.8</v>
      </c>
      <c r="C20" s="72">
        <f>1493+0.1-0.2</f>
        <v>1492.8999999999999</v>
      </c>
      <c r="D20" s="67"/>
      <c r="E20" s="67">
        <v>12.2</v>
      </c>
      <c r="F20" s="67">
        <v>0.6</v>
      </c>
      <c r="G20" s="67"/>
      <c r="H20" s="67">
        <v>23.5</v>
      </c>
      <c r="I20" s="67">
        <v>73.7</v>
      </c>
      <c r="J20" s="72">
        <v>134.5</v>
      </c>
      <c r="K20" s="67">
        <v>0.6</v>
      </c>
      <c r="L20" s="72"/>
      <c r="M20" s="67">
        <v>32.8</v>
      </c>
      <c r="N20" s="67">
        <v>63.2</v>
      </c>
      <c r="O20" s="71">
        <v>34.6</v>
      </c>
      <c r="P20" s="67">
        <v>525.1</v>
      </c>
      <c r="Q20" s="71">
        <v>122.6</v>
      </c>
      <c r="R20" s="67">
        <v>112.2</v>
      </c>
      <c r="S20" s="72">
        <v>407.2</v>
      </c>
      <c r="T20" s="72">
        <v>3.4</v>
      </c>
      <c r="U20" s="72">
        <v>1.8</v>
      </c>
      <c r="V20" s="72"/>
      <c r="W20" s="72">
        <v>-1.1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1546.9</v>
      </c>
      <c r="AG20" s="72">
        <f t="shared" si="3"/>
        <v>1308.7999999999997</v>
      </c>
      <c r="AH20" s="18"/>
    </row>
    <row r="21" spans="1:34" ht="15.75">
      <c r="A21" s="3" t="s">
        <v>16</v>
      </c>
      <c r="B21" s="72">
        <v>965.4</v>
      </c>
      <c r="C21" s="72">
        <v>241.70000000000005</v>
      </c>
      <c r="D21" s="67"/>
      <c r="E21" s="67"/>
      <c r="F21" s="67"/>
      <c r="G21" s="67">
        <v>19</v>
      </c>
      <c r="H21" s="67"/>
      <c r="I21" s="67"/>
      <c r="J21" s="72"/>
      <c r="K21" s="67"/>
      <c r="L21" s="72"/>
      <c r="M21" s="67">
        <f>523.5+21.1</f>
        <v>544.6</v>
      </c>
      <c r="N21" s="67"/>
      <c r="O21" s="71"/>
      <c r="P21" s="67">
        <v>168.9</v>
      </c>
      <c r="Q21" s="71">
        <v>208.4</v>
      </c>
      <c r="R21" s="67">
        <v>214.2</v>
      </c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1155.1</v>
      </c>
      <c r="AG21" s="72">
        <f t="shared" si="3"/>
        <v>52</v>
      </c>
      <c r="AH21" s="18"/>
    </row>
    <row r="22" spans="1:34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4001.7999999999997</v>
      </c>
      <c r="C23" s="72">
        <f t="shared" si="4"/>
        <v>6656.2000000000035</v>
      </c>
      <c r="D23" s="67">
        <f t="shared" si="4"/>
        <v>0</v>
      </c>
      <c r="E23" s="67">
        <f t="shared" si="4"/>
        <v>3.552713678800501E-15</v>
      </c>
      <c r="F23" s="67">
        <f t="shared" si="4"/>
        <v>65.69999999999973</v>
      </c>
      <c r="G23" s="67">
        <f t="shared" si="4"/>
        <v>0</v>
      </c>
      <c r="H23" s="67">
        <f t="shared" si="4"/>
        <v>2.6000000000000014</v>
      </c>
      <c r="I23" s="67">
        <f t="shared" si="4"/>
        <v>552</v>
      </c>
      <c r="J23" s="72">
        <f t="shared" si="4"/>
        <v>41.900000000000006</v>
      </c>
      <c r="K23" s="67">
        <f t="shared" si="4"/>
        <v>57.20000000000291</v>
      </c>
      <c r="L23" s="72">
        <f t="shared" si="4"/>
        <v>1.5</v>
      </c>
      <c r="M23" s="67">
        <f t="shared" si="4"/>
        <v>6.7000000000000455</v>
      </c>
      <c r="N23" s="67">
        <f t="shared" si="4"/>
        <v>544.1</v>
      </c>
      <c r="O23" s="67">
        <f t="shared" si="4"/>
        <v>5.399999999999999</v>
      </c>
      <c r="P23" s="67">
        <f t="shared" si="4"/>
        <v>168.1</v>
      </c>
      <c r="Q23" s="67">
        <f t="shared" si="4"/>
        <v>30.5</v>
      </c>
      <c r="R23" s="67">
        <f t="shared" si="4"/>
        <v>413.8</v>
      </c>
      <c r="S23" s="67">
        <f t="shared" si="4"/>
        <v>289.2000000000001</v>
      </c>
      <c r="T23" s="67">
        <f t="shared" si="4"/>
        <v>132.29999999999998</v>
      </c>
      <c r="U23" s="67">
        <f t="shared" si="4"/>
        <v>23.599999999997088</v>
      </c>
      <c r="V23" s="67">
        <f t="shared" si="4"/>
        <v>-0.3999999999999999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2334.2</v>
      </c>
      <c r="AG23" s="72">
        <f>B23+C23-AF23</f>
        <v>8323.800000000003</v>
      </c>
      <c r="AH23" s="18"/>
    </row>
    <row r="24" spans="1:35" ht="15" customHeight="1">
      <c r="A24" s="4" t="s">
        <v>7</v>
      </c>
      <c r="B24" s="72">
        <f>35291.1+185.6</f>
        <v>35476.7</v>
      </c>
      <c r="C24" s="72">
        <f>9600.09999999999-0.4</f>
        <v>9599.69999999999</v>
      </c>
      <c r="D24" s="67"/>
      <c r="E24" s="67">
        <v>348.3</v>
      </c>
      <c r="F24" s="67"/>
      <c r="G24" s="67">
        <v>154.4</v>
      </c>
      <c r="H24" s="67">
        <v>28.9</v>
      </c>
      <c r="I24" s="67">
        <f>832.9+1674.2+0.2</f>
        <v>2507.2999999999997</v>
      </c>
      <c r="J24" s="72">
        <v>402.7</v>
      </c>
      <c r="K24" s="67">
        <f>21.6+10818.2</f>
        <v>10839.800000000001</v>
      </c>
      <c r="L24" s="72">
        <f>829.8+662.4</f>
        <v>1492.1999999999998</v>
      </c>
      <c r="M24" s="67"/>
      <c r="N24" s="67">
        <f>207+834.4</f>
        <v>1041.4</v>
      </c>
      <c r="O24" s="71">
        <f>12.4+49.4</f>
        <v>61.8</v>
      </c>
      <c r="P24" s="67">
        <f>111.7+213.2</f>
        <v>324.9</v>
      </c>
      <c r="Q24" s="71">
        <f>173.4+378.8</f>
        <v>552.2</v>
      </c>
      <c r="R24" s="71">
        <f>383.4+338</f>
        <v>721.4</v>
      </c>
      <c r="S24" s="72">
        <f>205.3+188.2</f>
        <v>393.5</v>
      </c>
      <c r="T24" s="72">
        <v>217.6</v>
      </c>
      <c r="U24" s="72">
        <f>9373.5+8656.4</f>
        <v>18029.9</v>
      </c>
      <c r="V24" s="72">
        <v>601.1</v>
      </c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37717.4</v>
      </c>
      <c r="AG24" s="72">
        <f t="shared" si="3"/>
        <v>7358.999999999985</v>
      </c>
      <c r="AI24" s="86"/>
    </row>
    <row r="25" spans="1:35" s="117" customFormat="1" ht="15" customHeight="1">
      <c r="A25" s="113" t="s">
        <v>39</v>
      </c>
      <c r="B25" s="76">
        <f>22002.9+185.6</f>
        <v>22188.5</v>
      </c>
      <c r="C25" s="76">
        <v>2333.8</v>
      </c>
      <c r="D25" s="76"/>
      <c r="E25" s="76"/>
      <c r="F25" s="76"/>
      <c r="G25" s="76">
        <v>154.4</v>
      </c>
      <c r="H25" s="76">
        <v>28.9</v>
      </c>
      <c r="I25" s="76">
        <v>1674.2</v>
      </c>
      <c r="J25" s="76"/>
      <c r="K25" s="76">
        <v>10818.2</v>
      </c>
      <c r="L25" s="76">
        <v>662.4</v>
      </c>
      <c r="M25" s="76"/>
      <c r="N25" s="76">
        <v>834.4</v>
      </c>
      <c r="O25" s="76">
        <v>49.5</v>
      </c>
      <c r="P25" s="76">
        <v>213.2</v>
      </c>
      <c r="Q25" s="76">
        <v>378.8</v>
      </c>
      <c r="R25" s="76">
        <v>338</v>
      </c>
      <c r="S25" s="76">
        <v>188.2</v>
      </c>
      <c r="T25" s="76">
        <v>217.6</v>
      </c>
      <c r="U25" s="76">
        <v>8656.4</v>
      </c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24214.2</v>
      </c>
      <c r="AG25" s="115">
        <f t="shared" si="3"/>
        <v>308.09999999999854</v>
      </c>
      <c r="AH25" s="116"/>
      <c r="AI25" s="142"/>
    </row>
    <row r="26" spans="1:34" ht="15.7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/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35476.7</v>
      </c>
      <c r="C32" s="72">
        <v>9599.69999999999</v>
      </c>
      <c r="D32" s="67">
        <f aca="true" t="shared" si="5" ref="D32:AD32">D24-D26-D27-D28-D29-D30-D31</f>
        <v>0</v>
      </c>
      <c r="E32" s="67">
        <f t="shared" si="5"/>
        <v>348.3</v>
      </c>
      <c r="F32" s="67">
        <f t="shared" si="5"/>
        <v>0</v>
      </c>
      <c r="G32" s="67">
        <f t="shared" si="5"/>
        <v>154.4</v>
      </c>
      <c r="H32" s="67">
        <f t="shared" si="5"/>
        <v>28.9</v>
      </c>
      <c r="I32" s="67">
        <f t="shared" si="5"/>
        <v>2507.2999999999997</v>
      </c>
      <c r="J32" s="72">
        <f t="shared" si="5"/>
        <v>402.7</v>
      </c>
      <c r="K32" s="67">
        <f t="shared" si="5"/>
        <v>10839.800000000001</v>
      </c>
      <c r="L32" s="72">
        <f t="shared" si="5"/>
        <v>1492.1999999999998</v>
      </c>
      <c r="M32" s="67">
        <f t="shared" si="5"/>
        <v>0</v>
      </c>
      <c r="N32" s="67">
        <f t="shared" si="5"/>
        <v>1041.4</v>
      </c>
      <c r="O32" s="67">
        <f t="shared" si="5"/>
        <v>61.8</v>
      </c>
      <c r="P32" s="67">
        <f t="shared" si="5"/>
        <v>324.9</v>
      </c>
      <c r="Q32" s="67">
        <f t="shared" si="5"/>
        <v>552.2</v>
      </c>
      <c r="R32" s="67">
        <f t="shared" si="5"/>
        <v>721.4</v>
      </c>
      <c r="S32" s="67">
        <f t="shared" si="5"/>
        <v>393.5</v>
      </c>
      <c r="T32" s="67">
        <f t="shared" si="5"/>
        <v>217.6</v>
      </c>
      <c r="U32" s="67">
        <f t="shared" si="5"/>
        <v>18029.9</v>
      </c>
      <c r="V32" s="67">
        <f t="shared" si="5"/>
        <v>601.1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37717.4</v>
      </c>
      <c r="AG32" s="72">
        <f>AG24</f>
        <v>7358.999999999985</v>
      </c>
    </row>
    <row r="33" spans="1:33" ht="15" customHeight="1">
      <c r="A33" s="4" t="s">
        <v>8</v>
      </c>
      <c r="B33" s="72">
        <f>2279.99+32.4</f>
        <v>2312.39</v>
      </c>
      <c r="C33" s="72">
        <f>79.4+3</f>
        <v>82.4</v>
      </c>
      <c r="D33" s="67"/>
      <c r="E33" s="67"/>
      <c r="F33" s="67"/>
      <c r="G33" s="67"/>
      <c r="H33" s="67"/>
      <c r="I33" s="67"/>
      <c r="J33" s="72"/>
      <c r="K33" s="67">
        <v>41</v>
      </c>
      <c r="L33" s="72">
        <v>50.9</v>
      </c>
      <c r="M33" s="67"/>
      <c r="N33" s="67">
        <v>0.1</v>
      </c>
      <c r="O33" s="71"/>
      <c r="P33" s="67"/>
      <c r="Q33" s="71">
        <v>2.6</v>
      </c>
      <c r="R33" s="67">
        <v>120</v>
      </c>
      <c r="S33" s="72"/>
      <c r="T33" s="72"/>
      <c r="U33" s="72"/>
      <c r="V33" s="72">
        <v>203</v>
      </c>
      <c r="W33" s="72">
        <v>53.7</v>
      </c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471.3</v>
      </c>
      <c r="AG33" s="72">
        <f aca="true" t="shared" si="6" ref="AG33:AG38">B33+C33-AF33</f>
        <v>1923.49</v>
      </c>
    </row>
    <row r="34" spans="1:33" ht="15.75">
      <c r="A34" s="3" t="s">
        <v>5</v>
      </c>
      <c r="B34" s="72">
        <v>295.8</v>
      </c>
      <c r="C34" s="72">
        <v>38.4</v>
      </c>
      <c r="D34" s="67"/>
      <c r="E34" s="67"/>
      <c r="F34" s="67"/>
      <c r="G34" s="67"/>
      <c r="H34" s="67"/>
      <c r="I34" s="67"/>
      <c r="J34" s="72"/>
      <c r="K34" s="67">
        <v>35.4</v>
      </c>
      <c r="L34" s="72">
        <v>50.9</v>
      </c>
      <c r="M34" s="67"/>
      <c r="N34" s="67"/>
      <c r="O34" s="67"/>
      <c r="P34" s="67"/>
      <c r="Q34" s="71"/>
      <c r="R34" s="67">
        <v>119.2</v>
      </c>
      <c r="S34" s="72"/>
      <c r="T34" s="72"/>
      <c r="U34" s="72"/>
      <c r="V34" s="72">
        <v>73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278.5</v>
      </c>
      <c r="AG34" s="72">
        <f t="shared" si="6"/>
        <v>55.69999999999999</v>
      </c>
    </row>
    <row r="35" spans="1:33" ht="15.75">
      <c r="A35" s="3" t="s">
        <v>1</v>
      </c>
      <c r="B35" s="72">
        <f>263.2+32.4</f>
        <v>295.59999999999997</v>
      </c>
      <c r="C35" s="72">
        <v>0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/>
      <c r="P35" s="67"/>
      <c r="Q35" s="71"/>
      <c r="R35" s="67"/>
      <c r="S35" s="72"/>
      <c r="T35" s="72"/>
      <c r="U35" s="67"/>
      <c r="V35" s="67">
        <v>127</v>
      </c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127</v>
      </c>
      <c r="AG35" s="72">
        <f t="shared" si="6"/>
        <v>168.59999999999997</v>
      </c>
    </row>
    <row r="36" spans="1:33" ht="15.75">
      <c r="A36" s="3" t="s">
        <v>2</v>
      </c>
      <c r="B36" s="111">
        <v>3</v>
      </c>
      <c r="C36" s="72">
        <v>17.7</v>
      </c>
      <c r="D36" s="67"/>
      <c r="E36" s="67"/>
      <c r="F36" s="67"/>
      <c r="G36" s="67"/>
      <c r="H36" s="67"/>
      <c r="I36" s="67"/>
      <c r="J36" s="72"/>
      <c r="K36" s="67">
        <v>0.7</v>
      </c>
      <c r="L36" s="72"/>
      <c r="M36" s="67"/>
      <c r="N36" s="72">
        <v>0.1</v>
      </c>
      <c r="O36" s="71"/>
      <c r="P36" s="67"/>
      <c r="Q36" s="71">
        <v>2.1</v>
      </c>
      <c r="R36" s="67">
        <v>0.1</v>
      </c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3</v>
      </c>
      <c r="AG36" s="72">
        <f t="shared" si="6"/>
        <v>17.7</v>
      </c>
    </row>
    <row r="37" spans="1:33" ht="15.75">
      <c r="A37" s="3" t="s">
        <v>16</v>
      </c>
      <c r="B37" s="72">
        <v>1633.1</v>
      </c>
      <c r="C37" s="72">
        <v>0</v>
      </c>
      <c r="D37" s="67"/>
      <c r="E37" s="67"/>
      <c r="F37" s="67"/>
      <c r="G37" s="67"/>
      <c r="H37" s="67"/>
      <c r="I37" s="67"/>
      <c r="J37" s="72"/>
      <c r="K37" s="67"/>
      <c r="L37" s="72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1633.1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84.89000000000004</v>
      </c>
      <c r="C39" s="72">
        <f t="shared" si="7"/>
        <v>26.300000000000008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72">
        <f t="shared" si="7"/>
        <v>0</v>
      </c>
      <c r="K39" s="67">
        <f t="shared" si="7"/>
        <v>4.900000000000001</v>
      </c>
      <c r="L39" s="72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0.5</v>
      </c>
      <c r="R39" s="67">
        <f t="shared" si="7"/>
        <v>0.6999999999999972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3</v>
      </c>
      <c r="W39" s="67">
        <f t="shared" si="7"/>
        <v>53.7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62.8</v>
      </c>
      <c r="AG39" s="72">
        <f>AG33-AG34-AG36-AG38-AG35-AG37</f>
        <v>48.3900000000001</v>
      </c>
    </row>
    <row r="40" spans="1:33" ht="15" customHeight="1">
      <c r="A40" s="4" t="s">
        <v>29</v>
      </c>
      <c r="B40" s="72">
        <v>1098.8</v>
      </c>
      <c r="C40" s="72">
        <f>120.8+0.1</f>
        <v>120.89999999999999</v>
      </c>
      <c r="D40" s="67"/>
      <c r="E40" s="67"/>
      <c r="F40" s="67"/>
      <c r="G40" s="67"/>
      <c r="H40" s="67"/>
      <c r="I40" s="67"/>
      <c r="J40" s="72"/>
      <c r="K40" s="67">
        <f>25.5</f>
        <v>25.5</v>
      </c>
      <c r="L40" s="72">
        <v>366.5</v>
      </c>
      <c r="M40" s="67"/>
      <c r="N40" s="67"/>
      <c r="O40" s="71"/>
      <c r="P40" s="67"/>
      <c r="Q40" s="71"/>
      <c r="R40" s="71"/>
      <c r="S40" s="72">
        <v>16.5</v>
      </c>
      <c r="T40" s="72"/>
      <c r="U40" s="72">
        <v>692.2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1100.7</v>
      </c>
      <c r="AG40" s="72">
        <f aca="true" t="shared" si="8" ref="AG40:AG45">B40+C40-AF40</f>
        <v>119</v>
      </c>
    </row>
    <row r="41" spans="1:34" ht="15.75">
      <c r="A41" s="3" t="s">
        <v>5</v>
      </c>
      <c r="B41" s="72">
        <v>1049</v>
      </c>
      <c r="C41" s="72">
        <f>45.6</f>
        <v>45.6</v>
      </c>
      <c r="D41" s="67"/>
      <c r="E41" s="67"/>
      <c r="F41" s="67"/>
      <c r="G41" s="67"/>
      <c r="H41" s="67"/>
      <c r="I41" s="67"/>
      <c r="J41" s="72"/>
      <c r="K41" s="67"/>
      <c r="L41" s="72">
        <v>366.5</v>
      </c>
      <c r="M41" s="67"/>
      <c r="N41" s="67"/>
      <c r="O41" s="71"/>
      <c r="P41" s="67"/>
      <c r="Q41" s="67"/>
      <c r="R41" s="67"/>
      <c r="S41" s="72"/>
      <c r="T41" s="72"/>
      <c r="U41" s="72">
        <v>692.2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1058.7</v>
      </c>
      <c r="AG41" s="72">
        <f t="shared" si="8"/>
        <v>35.899999999999864</v>
      </c>
      <c r="AH41" s="6"/>
    </row>
    <row r="42" spans="1:33" ht="15.75" hidden="1">
      <c r="A42" s="3" t="s">
        <v>3</v>
      </c>
      <c r="B42" s="72"/>
      <c r="C42" s="72">
        <v>0.8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.75">
      <c r="A43" s="3" t="s">
        <v>1</v>
      </c>
      <c r="B43" s="72">
        <v>9.6</v>
      </c>
      <c r="C43" s="72">
        <v>13.400000000000002</v>
      </c>
      <c r="D43" s="67"/>
      <c r="E43" s="67"/>
      <c r="F43" s="67"/>
      <c r="G43" s="67"/>
      <c r="H43" s="67"/>
      <c r="I43" s="67"/>
      <c r="J43" s="72"/>
      <c r="K43" s="67"/>
      <c r="L43" s="72"/>
      <c r="M43" s="67"/>
      <c r="N43" s="67"/>
      <c r="O43" s="71"/>
      <c r="P43" s="67"/>
      <c r="Q43" s="67"/>
      <c r="R43" s="67"/>
      <c r="S43" s="72">
        <v>8.4</v>
      </c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8.4</v>
      </c>
      <c r="AG43" s="72">
        <f t="shared" si="8"/>
        <v>14.6</v>
      </c>
    </row>
    <row r="44" spans="1:33" ht="15.75">
      <c r="A44" s="3" t="s">
        <v>2</v>
      </c>
      <c r="B44" s="72">
        <v>8.8</v>
      </c>
      <c r="C44" s="72">
        <f>46.8-0.1</f>
        <v>46.699999999999996</v>
      </c>
      <c r="D44" s="67"/>
      <c r="E44" s="67"/>
      <c r="F44" s="67"/>
      <c r="G44" s="67"/>
      <c r="H44" s="67"/>
      <c r="I44" s="67"/>
      <c r="J44" s="72"/>
      <c r="K44" s="67">
        <v>0.4</v>
      </c>
      <c r="L44" s="72"/>
      <c r="M44" s="67"/>
      <c r="N44" s="67"/>
      <c r="O44" s="71"/>
      <c r="P44" s="67"/>
      <c r="Q44" s="67"/>
      <c r="R44" s="67"/>
      <c r="S44" s="72">
        <v>4.1</v>
      </c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4.5</v>
      </c>
      <c r="AG44" s="72">
        <f t="shared" si="8"/>
        <v>51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31.399999999999952</v>
      </c>
      <c r="C46" s="72">
        <f t="shared" si="9"/>
        <v>14.399999999999984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72">
        <f t="shared" si="9"/>
        <v>0</v>
      </c>
      <c r="K46" s="67">
        <f t="shared" si="9"/>
        <v>25.1</v>
      </c>
      <c r="L46" s="72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4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29.1</v>
      </c>
      <c r="AG46" s="72">
        <f>AG40-AG41-AG42-AG43-AG44-AG45</f>
        <v>16.700000000000145</v>
      </c>
    </row>
    <row r="47" spans="1:33" ht="17.25" customHeight="1">
      <c r="A47" s="4" t="s">
        <v>43</v>
      </c>
      <c r="B47" s="70">
        <f>2405-50+30.9</f>
        <v>2385.9</v>
      </c>
      <c r="C47" s="72">
        <f>1461.49+9.3</f>
        <v>1470.79</v>
      </c>
      <c r="D47" s="67"/>
      <c r="E47" s="79">
        <v>102.5</v>
      </c>
      <c r="F47" s="79">
        <v>14.5</v>
      </c>
      <c r="G47" s="79">
        <v>115.5</v>
      </c>
      <c r="H47" s="79">
        <v>5</v>
      </c>
      <c r="I47" s="79">
        <v>1833.4</v>
      </c>
      <c r="J47" s="80"/>
      <c r="K47" s="79">
        <v>16.8</v>
      </c>
      <c r="L47" s="80">
        <v>33.9</v>
      </c>
      <c r="M47" s="79">
        <v>103.7</v>
      </c>
      <c r="N47" s="79">
        <v>4.5</v>
      </c>
      <c r="O47" s="81">
        <f>11.9-3.8</f>
        <v>8.100000000000001</v>
      </c>
      <c r="P47" s="79">
        <v>41</v>
      </c>
      <c r="Q47" s="79">
        <v>15.6</v>
      </c>
      <c r="R47" s="79">
        <v>214.9</v>
      </c>
      <c r="S47" s="80"/>
      <c r="T47" s="80">
        <v>15.8</v>
      </c>
      <c r="U47" s="79">
        <v>27.5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2552.7000000000003</v>
      </c>
      <c r="AG47" s="72">
        <f>B47+C47-AF47</f>
        <v>1303.9899999999998</v>
      </c>
    </row>
    <row r="48" spans="1:33" ht="15.75">
      <c r="A48" s="3" t="s">
        <v>5</v>
      </c>
      <c r="B48" s="72">
        <v>36.4</v>
      </c>
      <c r="C48" s="72">
        <v>73.1</v>
      </c>
      <c r="D48" s="67"/>
      <c r="E48" s="79"/>
      <c r="F48" s="79"/>
      <c r="G48" s="79"/>
      <c r="H48" s="79"/>
      <c r="I48" s="79"/>
      <c r="J48" s="80"/>
      <c r="K48" s="79"/>
      <c r="L48" s="80">
        <v>33.9</v>
      </c>
      <c r="M48" s="79"/>
      <c r="N48" s="79"/>
      <c r="O48" s="81"/>
      <c r="P48" s="79"/>
      <c r="Q48" s="79"/>
      <c r="R48" s="79"/>
      <c r="S48" s="80"/>
      <c r="T48" s="80"/>
      <c r="U48" s="79">
        <v>5.2</v>
      </c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39.1</v>
      </c>
      <c r="AG48" s="72">
        <f>B48+C48-AF48</f>
        <v>70.4</v>
      </c>
    </row>
    <row r="49" spans="1:33" ht="15.75">
      <c r="A49" s="3" t="s">
        <v>16</v>
      </c>
      <c r="B49" s="72">
        <f>2171.5-50+30.9</f>
        <v>2152.4</v>
      </c>
      <c r="C49" s="72">
        <f>1018.07-93.6</f>
        <v>924.47</v>
      </c>
      <c r="D49" s="67"/>
      <c r="E49" s="67">
        <v>61.9</v>
      </c>
      <c r="F49" s="67">
        <v>1.8</v>
      </c>
      <c r="G49" s="67">
        <v>115.5</v>
      </c>
      <c r="H49" s="67"/>
      <c r="I49" s="67">
        <f>140+1668.2</f>
        <v>1808.2</v>
      </c>
      <c r="J49" s="72"/>
      <c r="K49" s="67"/>
      <c r="L49" s="72"/>
      <c r="M49" s="67">
        <v>96.2</v>
      </c>
      <c r="N49" s="67"/>
      <c r="O49" s="71"/>
      <c r="P49" s="67">
        <v>37.2</v>
      </c>
      <c r="Q49" s="67"/>
      <c r="R49" s="67">
        <f>52+150.6</f>
        <v>202.6</v>
      </c>
      <c r="S49" s="72"/>
      <c r="T49" s="72">
        <v>1.8</v>
      </c>
      <c r="U49" s="67">
        <v>8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2333.2</v>
      </c>
      <c r="AG49" s="72">
        <f>B49+C49-AF49</f>
        <v>743.6700000000001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197.0999999999999</v>
      </c>
      <c r="C51" s="72">
        <f aca="true" t="shared" si="10" ref="C51:AD51">C47-C48-C49</f>
        <v>473.22</v>
      </c>
      <c r="D51" s="67">
        <f t="shared" si="10"/>
        <v>0</v>
      </c>
      <c r="E51" s="67">
        <f t="shared" si="10"/>
        <v>40.6</v>
      </c>
      <c r="F51" s="67">
        <f t="shared" si="10"/>
        <v>12.7</v>
      </c>
      <c r="G51" s="67">
        <f t="shared" si="10"/>
        <v>0</v>
      </c>
      <c r="H51" s="67">
        <f t="shared" si="10"/>
        <v>5</v>
      </c>
      <c r="I51" s="67">
        <f t="shared" si="10"/>
        <v>25.200000000000045</v>
      </c>
      <c r="J51" s="72">
        <f t="shared" si="10"/>
        <v>0</v>
      </c>
      <c r="K51" s="67">
        <f t="shared" si="10"/>
        <v>16.8</v>
      </c>
      <c r="L51" s="72">
        <f t="shared" si="10"/>
        <v>0</v>
      </c>
      <c r="M51" s="67">
        <f t="shared" si="10"/>
        <v>7.5</v>
      </c>
      <c r="N51" s="67">
        <f t="shared" si="10"/>
        <v>4.5</v>
      </c>
      <c r="O51" s="67">
        <f t="shared" si="10"/>
        <v>8.100000000000001</v>
      </c>
      <c r="P51" s="67">
        <f t="shared" si="10"/>
        <v>3.799999999999997</v>
      </c>
      <c r="Q51" s="67">
        <f t="shared" si="10"/>
        <v>15.6</v>
      </c>
      <c r="R51" s="67">
        <f t="shared" si="10"/>
        <v>12.300000000000011</v>
      </c>
      <c r="S51" s="67">
        <f t="shared" si="10"/>
        <v>0</v>
      </c>
      <c r="T51" s="67">
        <f t="shared" si="10"/>
        <v>14</v>
      </c>
      <c r="U51" s="67">
        <f t="shared" si="10"/>
        <v>14.3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180.40000000000006</v>
      </c>
      <c r="AG51" s="72">
        <f>AG47-AG49-AG48</f>
        <v>489.91999999999973</v>
      </c>
    </row>
    <row r="52" spans="1:33" ht="15" customHeight="1">
      <c r="A52" s="4" t="s">
        <v>0</v>
      </c>
      <c r="B52" s="72">
        <f>4446.9-312.7-1000-40+6-28.4</f>
        <v>3071.7999999999997</v>
      </c>
      <c r="C52" s="72">
        <v>4473.36</v>
      </c>
      <c r="D52" s="67"/>
      <c r="E52" s="67">
        <v>633.2</v>
      </c>
      <c r="F52" s="67">
        <v>5.5</v>
      </c>
      <c r="G52" s="67">
        <v>617.8</v>
      </c>
      <c r="H52" s="67">
        <v>88.3</v>
      </c>
      <c r="I52" s="67">
        <v>22.1</v>
      </c>
      <c r="J52" s="72">
        <v>129.5</v>
      </c>
      <c r="K52" s="67">
        <f>978.2</f>
        <v>978.2</v>
      </c>
      <c r="L52" s="72">
        <v>399.1</v>
      </c>
      <c r="M52" s="67">
        <v>49.9</v>
      </c>
      <c r="N52" s="67">
        <v>14.3</v>
      </c>
      <c r="O52" s="71">
        <v>122.3</v>
      </c>
      <c r="P52" s="67"/>
      <c r="Q52" s="67">
        <v>5.9</v>
      </c>
      <c r="R52" s="67">
        <v>-188.1</v>
      </c>
      <c r="S52" s="72">
        <v>140.6</v>
      </c>
      <c r="T52" s="72">
        <f>994-24.2</f>
        <v>969.8</v>
      </c>
      <c r="U52" s="72">
        <v>5</v>
      </c>
      <c r="V52" s="72">
        <v>190.2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4183.6</v>
      </c>
      <c r="AG52" s="72">
        <f aca="true" t="shared" si="11" ref="AG52:AG59">B52+C52-AF52</f>
        <v>3361.5599999999995</v>
      </c>
    </row>
    <row r="53" spans="1:33" ht="15" customHeight="1">
      <c r="A53" s="3" t="s">
        <v>2</v>
      </c>
      <c r="B53" s="72">
        <f>797.5+6</f>
        <v>803.5</v>
      </c>
      <c r="C53" s="72">
        <f>817.1-2</f>
        <v>815.1</v>
      </c>
      <c r="D53" s="67"/>
      <c r="E53" s="67">
        <v>597.9</v>
      </c>
      <c r="F53" s="67">
        <v>5.5</v>
      </c>
      <c r="G53" s="67"/>
      <c r="H53" s="67">
        <v>67.2</v>
      </c>
      <c r="I53" s="67">
        <v>2.3</v>
      </c>
      <c r="J53" s="72"/>
      <c r="K53" s="67">
        <v>31.9</v>
      </c>
      <c r="L53" s="72"/>
      <c r="M53" s="67"/>
      <c r="N53" s="67"/>
      <c r="O53" s="71"/>
      <c r="P53" s="67"/>
      <c r="Q53" s="67"/>
      <c r="R53" s="67"/>
      <c r="S53" s="72"/>
      <c r="T53" s="72"/>
      <c r="U53" s="72"/>
      <c r="V53" s="72">
        <v>90.5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795.3</v>
      </c>
      <c r="AG53" s="72">
        <f t="shared" si="11"/>
        <v>823.3</v>
      </c>
    </row>
    <row r="54" spans="1:34" ht="15" customHeight="1">
      <c r="A54" s="4" t="s">
        <v>9</v>
      </c>
      <c r="B54" s="111">
        <f>1884.6-17.2</f>
        <v>1867.3999999999999</v>
      </c>
      <c r="C54" s="72">
        <v>1321.55</v>
      </c>
      <c r="D54" s="67"/>
      <c r="E54" s="67">
        <v>223.2</v>
      </c>
      <c r="F54" s="67">
        <v>75.3</v>
      </c>
      <c r="G54" s="67">
        <v>12.1</v>
      </c>
      <c r="H54" s="67">
        <v>0.9</v>
      </c>
      <c r="I54" s="67">
        <v>28.4</v>
      </c>
      <c r="J54" s="72">
        <v>36.6</v>
      </c>
      <c r="K54" s="67"/>
      <c r="L54" s="72">
        <v>467.9</v>
      </c>
      <c r="M54" s="67">
        <v>30</v>
      </c>
      <c r="N54" s="67">
        <v>177.9</v>
      </c>
      <c r="O54" s="71">
        <v>3.2</v>
      </c>
      <c r="P54" s="67">
        <v>44.2</v>
      </c>
      <c r="Q54" s="71"/>
      <c r="R54" s="67"/>
      <c r="S54" s="72">
        <v>36.1</v>
      </c>
      <c r="T54" s="72">
        <v>42.8</v>
      </c>
      <c r="U54" s="72">
        <v>662.9</v>
      </c>
      <c r="V54" s="72">
        <v>45.8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1887.3</v>
      </c>
      <c r="AG54" s="72">
        <f t="shared" si="11"/>
        <v>1301.6499999999999</v>
      </c>
      <c r="AH54" s="6"/>
    </row>
    <row r="55" spans="1:34" ht="15.75">
      <c r="A55" s="3" t="s">
        <v>5</v>
      </c>
      <c r="B55" s="72">
        <v>1171.5</v>
      </c>
      <c r="C55" s="72">
        <v>196</v>
      </c>
      <c r="D55" s="67"/>
      <c r="E55" s="67"/>
      <c r="F55" s="67"/>
      <c r="G55" s="67"/>
      <c r="H55" s="67"/>
      <c r="I55" s="67"/>
      <c r="J55" s="72"/>
      <c r="K55" s="67"/>
      <c r="L55" s="72">
        <v>456.7</v>
      </c>
      <c r="M55" s="67"/>
      <c r="N55" s="67"/>
      <c r="O55" s="71"/>
      <c r="P55" s="67"/>
      <c r="Q55" s="71"/>
      <c r="R55" s="67"/>
      <c r="S55" s="72"/>
      <c r="T55" s="72"/>
      <c r="U55" s="72">
        <v>632.3</v>
      </c>
      <c r="V55" s="72">
        <v>12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1101</v>
      </c>
      <c r="AG55" s="72">
        <f t="shared" si="11"/>
        <v>266.5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70">
        <v>20.5</v>
      </c>
      <c r="C57" s="72">
        <v>62.500000000000114</v>
      </c>
      <c r="D57" s="72"/>
      <c r="E57" s="72">
        <v>8.4</v>
      </c>
      <c r="F57" s="72"/>
      <c r="G57" s="72"/>
      <c r="H57" s="72"/>
      <c r="I57" s="72"/>
      <c r="J57" s="72">
        <v>29.4</v>
      </c>
      <c r="K57" s="72"/>
      <c r="L57" s="72">
        <v>8.5</v>
      </c>
      <c r="M57" s="72"/>
      <c r="N57" s="72"/>
      <c r="O57" s="72"/>
      <c r="P57" s="72">
        <v>0.2</v>
      </c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46.5</v>
      </c>
      <c r="AG57" s="72">
        <f t="shared" si="11"/>
        <v>36.500000000000114</v>
      </c>
    </row>
    <row r="58" spans="1:33" ht="15.7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675.3999999999999</v>
      </c>
      <c r="C60" s="72">
        <f t="shared" si="12"/>
        <v>1063.0499999999997</v>
      </c>
      <c r="D60" s="67">
        <f t="shared" si="12"/>
        <v>0</v>
      </c>
      <c r="E60" s="67">
        <f>E54-E55-E57-E59-E56-E58</f>
        <v>214.79999999999998</v>
      </c>
      <c r="F60" s="67">
        <f t="shared" si="12"/>
        <v>75.3</v>
      </c>
      <c r="G60" s="67">
        <f t="shared" si="12"/>
        <v>12.1</v>
      </c>
      <c r="H60" s="67">
        <f t="shared" si="12"/>
        <v>0.9</v>
      </c>
      <c r="I60" s="67">
        <f t="shared" si="12"/>
        <v>28.4</v>
      </c>
      <c r="J60" s="72">
        <f t="shared" si="12"/>
        <v>7.200000000000003</v>
      </c>
      <c r="K60" s="67">
        <f t="shared" si="12"/>
        <v>0</v>
      </c>
      <c r="L60" s="72">
        <f t="shared" si="12"/>
        <v>2.6999999999999886</v>
      </c>
      <c r="M60" s="67">
        <f t="shared" si="12"/>
        <v>30</v>
      </c>
      <c r="N60" s="67">
        <f t="shared" si="12"/>
        <v>177.9</v>
      </c>
      <c r="O60" s="67">
        <f t="shared" si="12"/>
        <v>3.2</v>
      </c>
      <c r="P60" s="67">
        <f t="shared" si="12"/>
        <v>44</v>
      </c>
      <c r="Q60" s="67">
        <f t="shared" si="12"/>
        <v>0</v>
      </c>
      <c r="R60" s="67">
        <f t="shared" si="12"/>
        <v>0</v>
      </c>
      <c r="S60" s="67">
        <f t="shared" si="12"/>
        <v>36.1</v>
      </c>
      <c r="T60" s="67">
        <f t="shared" si="12"/>
        <v>42.8</v>
      </c>
      <c r="U60" s="67">
        <f t="shared" si="12"/>
        <v>30.600000000000023</v>
      </c>
      <c r="V60" s="67">
        <f t="shared" si="12"/>
        <v>33.8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739.8</v>
      </c>
      <c r="AG60" s="72">
        <f>AG54-AG55-AG57-AG59-AG56-AG58</f>
        <v>998.6499999999997</v>
      </c>
    </row>
    <row r="61" spans="1:33" ht="15" customHeight="1">
      <c r="A61" s="4" t="s">
        <v>10</v>
      </c>
      <c r="B61" s="72">
        <f>104-36</f>
        <v>68</v>
      </c>
      <c r="C61" s="72">
        <f>746.7-181.7</f>
        <v>565</v>
      </c>
      <c r="D61" s="67"/>
      <c r="E61" s="67"/>
      <c r="F61" s="67"/>
      <c r="G61" s="67"/>
      <c r="H61" s="67">
        <v>0.2</v>
      </c>
      <c r="I61" s="67"/>
      <c r="J61" s="72"/>
      <c r="K61" s="67"/>
      <c r="L61" s="72"/>
      <c r="M61" s="67"/>
      <c r="N61" s="67"/>
      <c r="O61" s="71"/>
      <c r="P61" s="67"/>
      <c r="Q61" s="71"/>
      <c r="R61" s="67"/>
      <c r="S61" s="72">
        <v>2.1</v>
      </c>
      <c r="T61" s="72"/>
      <c r="U61" s="72"/>
      <c r="V61" s="72">
        <v>7.5</v>
      </c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9.8</v>
      </c>
      <c r="AG61" s="72">
        <f aca="true" t="shared" si="14" ref="AG61:AG67">B61+C61-AF61</f>
        <v>623.2</v>
      </c>
    </row>
    <row r="62" spans="1:33" s="18" customFormat="1" ht="15" customHeight="1">
      <c r="A62" s="108" t="s">
        <v>11</v>
      </c>
      <c r="B62" s="72">
        <v>3544.6</v>
      </c>
      <c r="C62" s="72">
        <f>1459.8+0.2</f>
        <v>1460</v>
      </c>
      <c r="D62" s="72"/>
      <c r="E62" s="72"/>
      <c r="F62" s="72"/>
      <c r="G62" s="72">
        <v>100</v>
      </c>
      <c r="H62" s="72"/>
      <c r="I62" s="72"/>
      <c r="J62" s="72">
        <v>18.9</v>
      </c>
      <c r="K62" s="72"/>
      <c r="L62" s="72">
        <v>1485.3</v>
      </c>
      <c r="M62" s="72">
        <v>8.7</v>
      </c>
      <c r="N62" s="72">
        <v>39.9</v>
      </c>
      <c r="O62" s="72"/>
      <c r="P62" s="72"/>
      <c r="Q62" s="72">
        <v>13.8</v>
      </c>
      <c r="R62" s="72">
        <v>4.4</v>
      </c>
      <c r="S62" s="72"/>
      <c r="T62" s="72">
        <v>233.8</v>
      </c>
      <c r="U62" s="72">
        <v>892</v>
      </c>
      <c r="V62" s="72"/>
      <c r="W62" s="72">
        <v>14.5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2811.3</v>
      </c>
      <c r="AG62" s="72">
        <f t="shared" si="14"/>
        <v>2193.3</v>
      </c>
    </row>
    <row r="63" spans="1:34" ht="15.75">
      <c r="A63" s="3" t="s">
        <v>5</v>
      </c>
      <c r="B63" s="72">
        <v>2591.8</v>
      </c>
      <c r="C63" s="72">
        <v>651.0999999999999</v>
      </c>
      <c r="D63" s="67"/>
      <c r="E63" s="67"/>
      <c r="F63" s="67"/>
      <c r="G63" s="67"/>
      <c r="H63" s="67"/>
      <c r="I63" s="67"/>
      <c r="J63" s="72"/>
      <c r="K63" s="67"/>
      <c r="L63" s="72">
        <v>1196.1</v>
      </c>
      <c r="M63" s="67"/>
      <c r="N63" s="67"/>
      <c r="O63" s="71"/>
      <c r="P63" s="67"/>
      <c r="Q63" s="71"/>
      <c r="R63" s="67"/>
      <c r="S63" s="72"/>
      <c r="T63" s="72"/>
      <c r="U63" s="72">
        <v>785.4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1981.5</v>
      </c>
      <c r="AG63" s="72">
        <f t="shared" si="14"/>
        <v>1261.4</v>
      </c>
      <c r="AH63" s="121"/>
    </row>
    <row r="64" spans="1:34" ht="15.7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53.1</v>
      </c>
      <c r="C65" s="72">
        <f>60.2+0.4</f>
        <v>60.6</v>
      </c>
      <c r="D65" s="67"/>
      <c r="E65" s="67"/>
      <c r="F65" s="67"/>
      <c r="G65" s="67">
        <v>4.8</v>
      </c>
      <c r="H65" s="67"/>
      <c r="I65" s="67"/>
      <c r="J65" s="72">
        <v>2.2</v>
      </c>
      <c r="K65" s="67"/>
      <c r="L65" s="72">
        <v>3.6</v>
      </c>
      <c r="M65" s="67"/>
      <c r="N65" s="67">
        <v>32.5</v>
      </c>
      <c r="O65" s="71"/>
      <c r="P65" s="67"/>
      <c r="Q65" s="71"/>
      <c r="R65" s="67"/>
      <c r="S65" s="72"/>
      <c r="T65" s="72"/>
      <c r="U65" s="72">
        <v>6.4</v>
      </c>
      <c r="V65" s="72"/>
      <c r="W65" s="72">
        <v>7.8</v>
      </c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57.3</v>
      </c>
      <c r="AG65" s="72">
        <f t="shared" si="14"/>
        <v>56.400000000000006</v>
      </c>
      <c r="AH65" s="6"/>
    </row>
    <row r="66" spans="1:33" ht="15.75">
      <c r="A66" s="3" t="s">
        <v>2</v>
      </c>
      <c r="B66" s="72">
        <v>34.2</v>
      </c>
      <c r="C66" s="72">
        <f>112.3-16.2</f>
        <v>96.1</v>
      </c>
      <c r="D66" s="67"/>
      <c r="E66" s="67"/>
      <c r="F66" s="67"/>
      <c r="G66" s="67">
        <v>2.5</v>
      </c>
      <c r="H66" s="67"/>
      <c r="I66" s="67"/>
      <c r="J66" s="72">
        <v>1.1</v>
      </c>
      <c r="K66" s="67"/>
      <c r="L66" s="72">
        <v>3.8</v>
      </c>
      <c r="M66" s="67"/>
      <c r="N66" s="67">
        <v>2.1</v>
      </c>
      <c r="O66" s="71"/>
      <c r="P66" s="67"/>
      <c r="Q66" s="67"/>
      <c r="R66" s="67"/>
      <c r="S66" s="72"/>
      <c r="T66" s="72"/>
      <c r="U66" s="72">
        <v>10.3</v>
      </c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19.8</v>
      </c>
      <c r="AG66" s="72">
        <f t="shared" si="14"/>
        <v>110.50000000000001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>
        <v>110</v>
      </c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755.4999999999997</v>
      </c>
      <c r="C68" s="72">
        <f t="shared" si="15"/>
        <v>652.2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92.7</v>
      </c>
      <c r="H68" s="67">
        <f t="shared" si="15"/>
        <v>0</v>
      </c>
      <c r="I68" s="67">
        <f t="shared" si="15"/>
        <v>0</v>
      </c>
      <c r="J68" s="72">
        <f t="shared" si="15"/>
        <v>15.599999999999998</v>
      </c>
      <c r="K68" s="67">
        <f t="shared" si="15"/>
        <v>0</v>
      </c>
      <c r="L68" s="72">
        <f t="shared" si="15"/>
        <v>171.80000000000004</v>
      </c>
      <c r="M68" s="67">
        <f t="shared" si="15"/>
        <v>8.7</v>
      </c>
      <c r="N68" s="67">
        <f t="shared" si="15"/>
        <v>5.299999999999997</v>
      </c>
      <c r="O68" s="67">
        <f t="shared" si="15"/>
        <v>0</v>
      </c>
      <c r="P68" s="67">
        <f t="shared" si="15"/>
        <v>0</v>
      </c>
      <c r="Q68" s="67">
        <f t="shared" si="15"/>
        <v>13.8</v>
      </c>
      <c r="R68" s="67">
        <f t="shared" si="15"/>
        <v>4.4</v>
      </c>
      <c r="S68" s="67">
        <f t="shared" si="15"/>
        <v>0</v>
      </c>
      <c r="T68" s="67">
        <f t="shared" si="15"/>
        <v>233.8</v>
      </c>
      <c r="U68" s="67">
        <f t="shared" si="15"/>
        <v>89.90000000000002</v>
      </c>
      <c r="V68" s="67">
        <f t="shared" si="15"/>
        <v>0</v>
      </c>
      <c r="W68" s="67">
        <f t="shared" si="15"/>
        <v>6.7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642.7</v>
      </c>
      <c r="AG68" s="72">
        <f>AG62-AG63-AG66-AG67-AG65-AG64</f>
        <v>765.0000000000001</v>
      </c>
    </row>
    <row r="69" spans="1:33" ht="31.5">
      <c r="A69" s="4" t="s">
        <v>45</v>
      </c>
      <c r="B69" s="72">
        <f>3329.6+1268.6</f>
        <v>4598.2</v>
      </c>
      <c r="C69" s="72">
        <v>59.100000000000364</v>
      </c>
      <c r="D69" s="67"/>
      <c r="E69" s="67">
        <v>1416</v>
      </c>
      <c r="F69" s="67"/>
      <c r="G69" s="67"/>
      <c r="H69" s="67"/>
      <c r="I69" s="67"/>
      <c r="J69" s="72"/>
      <c r="K69" s="67"/>
      <c r="L69" s="72"/>
      <c r="M69" s="67"/>
      <c r="N69" s="67">
        <v>1268.6</v>
      </c>
      <c r="O69" s="67"/>
      <c r="P69" s="67">
        <v>1913.6</v>
      </c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4598.2</v>
      </c>
      <c r="AG69" s="130">
        <f aca="true" t="shared" si="16" ref="AG69:AG92">B69+C69-AF69</f>
        <v>59.100000000000364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f>900+28.4</f>
        <v>928.4</v>
      </c>
      <c r="C71" s="80">
        <v>218.3499999999999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>
        <v>744.9</v>
      </c>
      <c r="O71" s="79"/>
      <c r="P71" s="79"/>
      <c r="Q71" s="81"/>
      <c r="R71" s="79"/>
      <c r="S71" s="80"/>
      <c r="T71" s="80">
        <v>24.2</v>
      </c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769.1</v>
      </c>
      <c r="AG71" s="130">
        <f t="shared" si="16"/>
        <v>377.65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1443.2-120+36-12-91</f>
        <v>1256.2</v>
      </c>
      <c r="C72" s="72">
        <f>2282.1-17.7+34.7+0.3</f>
        <v>2299.4</v>
      </c>
      <c r="D72" s="67"/>
      <c r="E72" s="67">
        <v>76.6</v>
      </c>
      <c r="F72" s="67">
        <v>110.8</v>
      </c>
      <c r="G72" s="67"/>
      <c r="H72" s="67">
        <v>11</v>
      </c>
      <c r="I72" s="67">
        <v>6.2</v>
      </c>
      <c r="J72" s="72">
        <v>6.5</v>
      </c>
      <c r="K72" s="67">
        <f>3.7+0.6+0.8</f>
        <v>5.1</v>
      </c>
      <c r="L72" s="72">
        <v>23</v>
      </c>
      <c r="M72" s="67">
        <v>61.2</v>
      </c>
      <c r="N72" s="67">
        <v>31.6</v>
      </c>
      <c r="O72" s="67">
        <v>16</v>
      </c>
      <c r="P72" s="67">
        <v>0.1</v>
      </c>
      <c r="Q72" s="71">
        <v>3.7</v>
      </c>
      <c r="R72" s="67">
        <v>48.8</v>
      </c>
      <c r="S72" s="72">
        <v>6.8</v>
      </c>
      <c r="T72" s="72">
        <v>226.4</v>
      </c>
      <c r="U72" s="72">
        <v>76.7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710.5000000000001</v>
      </c>
      <c r="AG72" s="130">
        <f t="shared" si="16"/>
        <v>2845.1000000000004</v>
      </c>
      <c r="AH72" s="86">
        <f>AG72+AG69+AG76</f>
        <v>3135.2600000000007</v>
      </c>
    </row>
    <row r="73" spans="1:33" ht="15" customHeight="1">
      <c r="A73" s="3" t="s">
        <v>5</v>
      </c>
      <c r="B73" s="72">
        <v>0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0</v>
      </c>
    </row>
    <row r="74" spans="1:33" ht="15" customHeight="1">
      <c r="A74" s="3" t="s">
        <v>2</v>
      </c>
      <c r="B74" s="72">
        <f>109.1</f>
        <v>109.1</v>
      </c>
      <c r="C74" s="72">
        <v>358.29999999999995</v>
      </c>
      <c r="D74" s="67"/>
      <c r="E74" s="67">
        <v>62</v>
      </c>
      <c r="F74" s="67"/>
      <c r="G74" s="67"/>
      <c r="H74" s="67"/>
      <c r="I74" s="67"/>
      <c r="J74" s="72"/>
      <c r="K74" s="67"/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62</v>
      </c>
      <c r="AG74" s="130">
        <f t="shared" si="16"/>
        <v>405.4</v>
      </c>
    </row>
    <row r="75" spans="1:33" ht="15" customHeight="1">
      <c r="A75" s="3" t="s">
        <v>16</v>
      </c>
      <c r="B75" s="72">
        <f>22.6+40</f>
        <v>62.6</v>
      </c>
      <c r="C75" s="72">
        <v>30.799999999999997</v>
      </c>
      <c r="D75" s="67"/>
      <c r="E75" s="67">
        <v>7</v>
      </c>
      <c r="F75" s="67"/>
      <c r="G75" s="67"/>
      <c r="H75" s="67"/>
      <c r="I75" s="67"/>
      <c r="J75" s="72"/>
      <c r="K75" s="67">
        <v>3.7</v>
      </c>
      <c r="L75" s="72">
        <v>0</v>
      </c>
      <c r="M75" s="67">
        <v>40</v>
      </c>
      <c r="N75" s="67"/>
      <c r="O75" s="67"/>
      <c r="P75" s="67"/>
      <c r="Q75" s="71">
        <v>1.9</v>
      </c>
      <c r="R75" s="67"/>
      <c r="S75" s="72"/>
      <c r="T75" s="72">
        <v>7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59.6</v>
      </c>
      <c r="AG75" s="130">
        <f t="shared" si="16"/>
        <v>33.800000000000004</v>
      </c>
    </row>
    <row r="76" spans="1:35" s="11" customFormat="1" ht="15.75">
      <c r="A76" s="12" t="s">
        <v>48</v>
      </c>
      <c r="B76" s="72">
        <f>180.2</f>
        <v>180.2</v>
      </c>
      <c r="C76" s="72">
        <f>496.56+0.2-268.6</f>
        <v>228.15999999999997</v>
      </c>
      <c r="D76" s="67"/>
      <c r="E76" s="79"/>
      <c r="F76" s="79">
        <v>10.4</v>
      </c>
      <c r="G76" s="79"/>
      <c r="H76" s="79"/>
      <c r="I76" s="79"/>
      <c r="J76" s="80"/>
      <c r="K76" s="79">
        <v>82.9</v>
      </c>
      <c r="L76" s="80"/>
      <c r="M76" s="79"/>
      <c r="N76" s="79"/>
      <c r="O76" s="79"/>
      <c r="P76" s="79"/>
      <c r="Q76" s="81"/>
      <c r="R76" s="79"/>
      <c r="S76" s="80">
        <v>84</v>
      </c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177.3</v>
      </c>
      <c r="AG76" s="130">
        <f t="shared" si="16"/>
        <v>231.05999999999995</v>
      </c>
      <c r="AI76" s="128"/>
    </row>
    <row r="77" spans="1:33" s="11" customFormat="1" ht="15.75">
      <c r="A77" s="3" t="s">
        <v>5</v>
      </c>
      <c r="B77" s="72">
        <v>143.1</v>
      </c>
      <c r="C77" s="72">
        <f>3.5+0.2</f>
        <v>3.7</v>
      </c>
      <c r="D77" s="67"/>
      <c r="E77" s="79"/>
      <c r="F77" s="79"/>
      <c r="G77" s="79"/>
      <c r="H77" s="79"/>
      <c r="I77" s="79"/>
      <c r="J77" s="80"/>
      <c r="K77" s="79">
        <v>60.7</v>
      </c>
      <c r="L77" s="80"/>
      <c r="M77" s="79"/>
      <c r="N77" s="79"/>
      <c r="O77" s="79"/>
      <c r="P77" s="79"/>
      <c r="Q77" s="81"/>
      <c r="R77" s="79"/>
      <c r="S77" s="80">
        <v>81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141.7</v>
      </c>
      <c r="AG77" s="130">
        <f t="shared" si="16"/>
        <v>5.099999999999994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</v>
      </c>
      <c r="D80" s="67"/>
      <c r="E80" s="79"/>
      <c r="F80" s="79"/>
      <c r="G80" s="79"/>
      <c r="H80" s="79"/>
      <c r="I80" s="79"/>
      <c r="J80" s="80"/>
      <c r="K80" s="79"/>
      <c r="L80" s="80"/>
      <c r="M80" s="79"/>
      <c r="N80" s="79"/>
      <c r="O80" s="79"/>
      <c r="P80" s="79"/>
      <c r="Q80" s="81"/>
      <c r="R80" s="79"/>
      <c r="S80" s="80">
        <v>0.1</v>
      </c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0.1</v>
      </c>
      <c r="AG80" s="130">
        <f t="shared" si="16"/>
        <v>11.4</v>
      </c>
    </row>
    <row r="81" spans="1:33" s="11" customFormat="1" ht="15.75">
      <c r="A81" s="12" t="s">
        <v>49</v>
      </c>
      <c r="B81" s="72">
        <v>43</v>
      </c>
      <c r="C81" s="80">
        <v>0</v>
      </c>
      <c r="D81" s="79"/>
      <c r="E81" s="79"/>
      <c r="F81" s="79"/>
      <c r="G81" s="79"/>
      <c r="H81" s="79"/>
      <c r="I81" s="79"/>
      <c r="J81" s="80"/>
      <c r="K81" s="79">
        <v>43</v>
      </c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43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527</v>
      </c>
      <c r="C83" s="80">
        <v>0</v>
      </c>
      <c r="D83" s="79"/>
      <c r="E83" s="79"/>
      <c r="F83" s="79"/>
      <c r="G83" s="79"/>
      <c r="H83" s="79">
        <v>527</v>
      </c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527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5349.5-1011+1000+2399+1817.8</f>
        <v>9555.3</v>
      </c>
      <c r="C89" s="72">
        <v>3379.5999999999995</v>
      </c>
      <c r="D89" s="67"/>
      <c r="E89" s="67">
        <v>39.1</v>
      </c>
      <c r="F89" s="67">
        <f>1691.8+858.6</f>
        <v>2550.4</v>
      </c>
      <c r="G89" s="67">
        <v>220.3</v>
      </c>
      <c r="H89" s="67"/>
      <c r="I89" s="67"/>
      <c r="J89" s="72">
        <f>52.6+57.3</f>
        <v>109.9</v>
      </c>
      <c r="K89" s="67">
        <v>368.9</v>
      </c>
      <c r="L89" s="72">
        <f>54.7+360.9</f>
        <v>415.59999999999997</v>
      </c>
      <c r="M89" s="67">
        <v>1446.9</v>
      </c>
      <c r="N89" s="67"/>
      <c r="O89" s="67">
        <v>190.3</v>
      </c>
      <c r="P89" s="67"/>
      <c r="Q89" s="67">
        <v>188.4</v>
      </c>
      <c r="R89" s="67">
        <v>3261.8</v>
      </c>
      <c r="S89" s="72"/>
      <c r="T89" s="72">
        <v>84.9</v>
      </c>
      <c r="U89" s="67">
        <f>1646.6+489.1</f>
        <v>2135.7</v>
      </c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11012.2</v>
      </c>
      <c r="AG89" s="72">
        <f t="shared" si="16"/>
        <v>1922.699999999997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>
        <v>1173.1</v>
      </c>
      <c r="J90" s="72"/>
      <c r="K90" s="67"/>
      <c r="L90" s="72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>
        <v>1173.1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19426+1011+432.7+12+24.2-2399-1823.8</f>
        <v>16683.100000000002</v>
      </c>
      <c r="C92" s="72">
        <v>82958.70000000001</v>
      </c>
      <c r="D92" s="67">
        <v>4176</v>
      </c>
      <c r="E92" s="67">
        <v>812.4</v>
      </c>
      <c r="F92" s="67">
        <f>1191.2+449.1</f>
        <v>1640.3000000000002</v>
      </c>
      <c r="G92" s="67">
        <v>2185.9</v>
      </c>
      <c r="H92" s="67">
        <v>2145.9</v>
      </c>
      <c r="I92" s="67">
        <v>1330.7</v>
      </c>
      <c r="J92" s="72">
        <v>112.9</v>
      </c>
      <c r="K92" s="67">
        <v>1987.5</v>
      </c>
      <c r="L92" s="72">
        <v>3050.1</v>
      </c>
      <c r="M92" s="67">
        <v>2547.9</v>
      </c>
      <c r="N92" s="67">
        <v>307.1</v>
      </c>
      <c r="O92" s="67">
        <v>3979.2</v>
      </c>
      <c r="P92" s="67">
        <v>1508.3</v>
      </c>
      <c r="Q92" s="67">
        <v>10779.3</v>
      </c>
      <c r="R92" s="67"/>
      <c r="S92" s="72">
        <v>3507</v>
      </c>
      <c r="T92" s="72">
        <v>12041.7</v>
      </c>
      <c r="U92" s="67">
        <f>2460.1+292.7</f>
        <v>2752.7999999999997</v>
      </c>
      <c r="V92" s="67">
        <v>1498.1</v>
      </c>
      <c r="W92" s="67">
        <v>35.3</v>
      </c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56398.4</v>
      </c>
      <c r="AG92" s="72">
        <f t="shared" si="16"/>
        <v>43243.400000000016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220161.68999999997</v>
      </c>
      <c r="C94" s="132">
        <f t="shared" si="17"/>
        <v>138305.31</v>
      </c>
      <c r="D94" s="83">
        <f t="shared" si="17"/>
        <v>4329</v>
      </c>
      <c r="E94" s="83">
        <f t="shared" si="17"/>
        <v>3929.7999999999997</v>
      </c>
      <c r="F94" s="83">
        <f t="shared" si="17"/>
        <v>8537.099999999999</v>
      </c>
      <c r="G94" s="83">
        <f t="shared" si="17"/>
        <v>3509.3</v>
      </c>
      <c r="H94" s="83">
        <f t="shared" si="17"/>
        <v>3306</v>
      </c>
      <c r="I94" s="83">
        <f t="shared" si="17"/>
        <v>7949.899999999999</v>
      </c>
      <c r="J94" s="132">
        <f t="shared" si="17"/>
        <v>1063.1</v>
      </c>
      <c r="K94" s="83">
        <f t="shared" si="17"/>
        <v>50999.70000000001</v>
      </c>
      <c r="L94" s="132">
        <f t="shared" si="17"/>
        <v>33069.1</v>
      </c>
      <c r="M94" s="83">
        <f t="shared" si="17"/>
        <v>6382.299999999999</v>
      </c>
      <c r="N94" s="83">
        <f t="shared" si="17"/>
        <v>4259.8</v>
      </c>
      <c r="O94" s="83">
        <f t="shared" si="17"/>
        <v>4464.099999999999</v>
      </c>
      <c r="P94" s="83">
        <f t="shared" si="17"/>
        <v>4799.5</v>
      </c>
      <c r="Q94" s="83">
        <f t="shared" si="17"/>
        <v>13241.599999999999</v>
      </c>
      <c r="R94" s="83">
        <f t="shared" si="17"/>
        <v>5025.700000000001</v>
      </c>
      <c r="S94" s="83">
        <f t="shared" si="17"/>
        <v>5164.5</v>
      </c>
      <c r="T94" s="83">
        <f t="shared" si="17"/>
        <v>14072.5</v>
      </c>
      <c r="U94" s="83">
        <f t="shared" si="17"/>
        <v>74054.29999999999</v>
      </c>
      <c r="V94" s="83">
        <f t="shared" si="17"/>
        <v>4994.299999999999</v>
      </c>
      <c r="W94" s="83">
        <f t="shared" si="17"/>
        <v>1275.4999999999998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254427.09999999998</v>
      </c>
      <c r="AG94" s="84">
        <f>AG10+AG15+AG24+AG33+AG47+AG52+AG54+AG61+AG62+AG69+AG71+AG72+AG76+AG81+AG82+AG83+AG88+AG89+AG90+AG91+AG70+AG40+AG92</f>
        <v>104039.9</v>
      </c>
    </row>
    <row r="95" spans="1:33" ht="15.75">
      <c r="A95" s="3" t="s">
        <v>5</v>
      </c>
      <c r="B95" s="22">
        <f>B11+B17+B26+B34+B55+B63+B73+B41+B77+B48</f>
        <v>126383.6</v>
      </c>
      <c r="C95" s="109">
        <f aca="true" t="shared" si="18" ref="C95:AD95">C11+C17+C26+C34+C55+C63+C73+C41+C77+C48</f>
        <v>14813.720000000001</v>
      </c>
      <c r="D95" s="67">
        <f t="shared" si="18"/>
        <v>153</v>
      </c>
      <c r="E95" s="67">
        <f t="shared" si="18"/>
        <v>0</v>
      </c>
      <c r="F95" s="67">
        <f t="shared" si="18"/>
        <v>4038.9</v>
      </c>
      <c r="G95" s="67">
        <f t="shared" si="18"/>
        <v>52.5</v>
      </c>
      <c r="H95" s="67">
        <f t="shared" si="18"/>
        <v>379.4</v>
      </c>
      <c r="I95" s="67">
        <f t="shared" si="18"/>
        <v>0</v>
      </c>
      <c r="J95" s="72">
        <f t="shared" si="18"/>
        <v>0</v>
      </c>
      <c r="K95" s="67">
        <f t="shared" si="18"/>
        <v>36625</v>
      </c>
      <c r="L95" s="72">
        <f t="shared" si="18"/>
        <v>27369.7</v>
      </c>
      <c r="M95" s="67">
        <f t="shared" si="18"/>
        <v>1226.3</v>
      </c>
      <c r="N95" s="67">
        <f t="shared" si="18"/>
        <v>0</v>
      </c>
      <c r="O95" s="67">
        <f t="shared" si="18"/>
        <v>0</v>
      </c>
      <c r="P95" s="67">
        <f t="shared" si="18"/>
        <v>75.8</v>
      </c>
      <c r="Q95" s="67">
        <f t="shared" si="18"/>
        <v>42.1</v>
      </c>
      <c r="R95" s="67">
        <f t="shared" si="18"/>
        <v>121.2</v>
      </c>
      <c r="S95" s="67">
        <f t="shared" si="18"/>
        <v>94.7</v>
      </c>
      <c r="T95" s="67">
        <f t="shared" si="18"/>
        <v>0</v>
      </c>
      <c r="U95" s="67">
        <f t="shared" si="18"/>
        <v>50850.9</v>
      </c>
      <c r="V95" s="67">
        <f t="shared" si="18"/>
        <v>2480.3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123509.8</v>
      </c>
      <c r="AG95" s="71">
        <f>B95+C95-AF95</f>
        <v>17687.520000000004</v>
      </c>
    </row>
    <row r="96" spans="1:33" ht="15.75">
      <c r="A96" s="3" t="s">
        <v>2</v>
      </c>
      <c r="B96" s="22">
        <f aca="true" t="shared" si="19" ref="B96:AD96">B12+B20+B29+B36+B57+B66+B44+B80+B74+B53</f>
        <v>2440.6</v>
      </c>
      <c r="C96" s="109">
        <f t="shared" si="19"/>
        <v>3130.5</v>
      </c>
      <c r="D96" s="67">
        <f t="shared" si="19"/>
        <v>0</v>
      </c>
      <c r="E96" s="67">
        <f t="shared" si="19"/>
        <v>701.5</v>
      </c>
      <c r="F96" s="67">
        <f t="shared" si="19"/>
        <v>6.1</v>
      </c>
      <c r="G96" s="67">
        <f t="shared" si="19"/>
        <v>2.5</v>
      </c>
      <c r="H96" s="67">
        <f t="shared" si="19"/>
        <v>90.7</v>
      </c>
      <c r="I96" s="67">
        <f t="shared" si="19"/>
        <v>76</v>
      </c>
      <c r="J96" s="72">
        <f t="shared" si="19"/>
        <v>165</v>
      </c>
      <c r="K96" s="67">
        <f t="shared" si="19"/>
        <v>33.6</v>
      </c>
      <c r="L96" s="72">
        <f t="shared" si="19"/>
        <v>12.3</v>
      </c>
      <c r="M96" s="67">
        <f t="shared" si="19"/>
        <v>33.699999999999996</v>
      </c>
      <c r="N96" s="67">
        <f t="shared" si="19"/>
        <v>65.4</v>
      </c>
      <c r="O96" s="67">
        <f t="shared" si="19"/>
        <v>34.6</v>
      </c>
      <c r="P96" s="67">
        <f t="shared" si="19"/>
        <v>525.3000000000001</v>
      </c>
      <c r="Q96" s="67">
        <f t="shared" si="19"/>
        <v>124.69999999999999</v>
      </c>
      <c r="R96" s="67">
        <f t="shared" si="19"/>
        <v>112.3</v>
      </c>
      <c r="S96" s="67">
        <f t="shared" si="19"/>
        <v>411.40000000000003</v>
      </c>
      <c r="T96" s="67">
        <f t="shared" si="19"/>
        <v>3.4</v>
      </c>
      <c r="U96" s="67">
        <f t="shared" si="19"/>
        <v>12.100000000000001</v>
      </c>
      <c r="V96" s="67">
        <f t="shared" si="19"/>
        <v>127.3</v>
      </c>
      <c r="W96" s="67">
        <f t="shared" si="19"/>
        <v>-1.1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2536.8000000000006</v>
      </c>
      <c r="AG96" s="71">
        <f>B96+C96-AF96</f>
        <v>3034.2999999999997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13.7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3.4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3.4</v>
      </c>
      <c r="AG97" s="71">
        <f>B97+C97-AF97</f>
        <v>10.299999999999999</v>
      </c>
    </row>
    <row r="98" spans="1:33" ht="15.75">
      <c r="A98" s="3" t="s">
        <v>1</v>
      </c>
      <c r="B98" s="22">
        <f aca="true" t="shared" si="21" ref="B98:AD98">B19+B28+B65+B35+B43+B56+B79</f>
        <v>3517.2999999999997</v>
      </c>
      <c r="C98" s="109">
        <f t="shared" si="21"/>
        <v>6521.8</v>
      </c>
      <c r="D98" s="67">
        <f t="shared" si="21"/>
        <v>0</v>
      </c>
      <c r="E98" s="67">
        <f t="shared" si="21"/>
        <v>69.8</v>
      </c>
      <c r="F98" s="67">
        <f t="shared" si="21"/>
        <v>0</v>
      </c>
      <c r="G98" s="67">
        <f t="shared" si="21"/>
        <v>5.6</v>
      </c>
      <c r="H98" s="67">
        <f t="shared" si="21"/>
        <v>49.9</v>
      </c>
      <c r="I98" s="67">
        <f t="shared" si="21"/>
        <v>377.2</v>
      </c>
      <c r="J98" s="72">
        <f t="shared" si="21"/>
        <v>4.4</v>
      </c>
      <c r="K98" s="67">
        <f t="shared" si="21"/>
        <v>0</v>
      </c>
      <c r="L98" s="72">
        <f t="shared" si="21"/>
        <v>3.6</v>
      </c>
      <c r="M98" s="67">
        <f t="shared" si="21"/>
        <v>83.3</v>
      </c>
      <c r="N98" s="67">
        <f t="shared" si="21"/>
        <v>52.8</v>
      </c>
      <c r="O98" s="67">
        <f t="shared" si="21"/>
        <v>19.4</v>
      </c>
      <c r="P98" s="67">
        <f t="shared" si="21"/>
        <v>0</v>
      </c>
      <c r="Q98" s="67">
        <f t="shared" si="21"/>
        <v>0</v>
      </c>
      <c r="R98" s="67">
        <f t="shared" si="21"/>
        <v>61.4</v>
      </c>
      <c r="S98" s="67">
        <f t="shared" si="21"/>
        <v>121.7</v>
      </c>
      <c r="T98" s="67">
        <f t="shared" si="21"/>
        <v>79.3</v>
      </c>
      <c r="U98" s="67">
        <f t="shared" si="21"/>
        <v>8.200000000000001</v>
      </c>
      <c r="V98" s="67">
        <f t="shared" si="21"/>
        <v>127</v>
      </c>
      <c r="W98" s="67">
        <f t="shared" si="21"/>
        <v>7.8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1071.3999999999999</v>
      </c>
      <c r="AG98" s="71">
        <f>B98+C98-AF98</f>
        <v>8967.7</v>
      </c>
    </row>
    <row r="99" spans="1:33" ht="15.75">
      <c r="A99" s="3" t="s">
        <v>16</v>
      </c>
      <c r="B99" s="22">
        <f aca="true" t="shared" si="22" ref="B99:X99">B21+B30+B49+B37+B58+B13+B75+B67</f>
        <v>4923.5</v>
      </c>
      <c r="C99" s="109">
        <f t="shared" si="22"/>
        <v>1196.97</v>
      </c>
      <c r="D99" s="67">
        <f t="shared" si="22"/>
        <v>0</v>
      </c>
      <c r="E99" s="67">
        <f t="shared" si="22"/>
        <v>68.9</v>
      </c>
      <c r="F99" s="67">
        <f t="shared" si="22"/>
        <v>1.8</v>
      </c>
      <c r="G99" s="67">
        <f t="shared" si="22"/>
        <v>134.5</v>
      </c>
      <c r="H99" s="67">
        <f t="shared" si="22"/>
        <v>0</v>
      </c>
      <c r="I99" s="67">
        <f t="shared" si="22"/>
        <v>1808.2</v>
      </c>
      <c r="J99" s="72">
        <f t="shared" si="22"/>
        <v>0</v>
      </c>
      <c r="K99" s="67">
        <f t="shared" si="22"/>
        <v>3.7</v>
      </c>
      <c r="L99" s="72">
        <f t="shared" si="22"/>
        <v>110</v>
      </c>
      <c r="M99" s="67">
        <f t="shared" si="22"/>
        <v>680.8000000000001</v>
      </c>
      <c r="N99" s="67">
        <f t="shared" si="22"/>
        <v>0</v>
      </c>
      <c r="O99" s="67">
        <f t="shared" si="22"/>
        <v>0</v>
      </c>
      <c r="P99" s="67">
        <f t="shared" si="22"/>
        <v>206.10000000000002</v>
      </c>
      <c r="Q99" s="67">
        <f t="shared" si="22"/>
        <v>210.3</v>
      </c>
      <c r="R99" s="67">
        <f t="shared" si="22"/>
        <v>416.79999999999995</v>
      </c>
      <c r="S99" s="67">
        <f t="shared" si="22"/>
        <v>0</v>
      </c>
      <c r="T99" s="67">
        <f t="shared" si="22"/>
        <v>8.8</v>
      </c>
      <c r="U99" s="67">
        <f t="shared" si="22"/>
        <v>8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3657.9000000000005</v>
      </c>
      <c r="AG99" s="71">
        <f>B99+C99-AF99</f>
        <v>2462.5699999999997</v>
      </c>
    </row>
    <row r="100" spans="1:33" ht="12.75">
      <c r="A100" s="1" t="s">
        <v>35</v>
      </c>
      <c r="B100" s="2">
        <f aca="true" t="shared" si="24" ref="B100:AD100">B94-B95-B96-B97-B98-B99</f>
        <v>82896.68999999996</v>
      </c>
      <c r="C100" s="20">
        <f t="shared" si="24"/>
        <v>112628.62</v>
      </c>
      <c r="D100" s="85">
        <f t="shared" si="24"/>
        <v>4176</v>
      </c>
      <c r="E100" s="85">
        <f t="shared" si="24"/>
        <v>3089.5999999999995</v>
      </c>
      <c r="F100" s="85">
        <f t="shared" si="24"/>
        <v>4490.299999999998</v>
      </c>
      <c r="G100" s="85">
        <f t="shared" si="24"/>
        <v>3314.2000000000003</v>
      </c>
      <c r="H100" s="85">
        <f t="shared" si="24"/>
        <v>2786</v>
      </c>
      <c r="I100" s="85">
        <f t="shared" si="24"/>
        <v>5688.499999999999</v>
      </c>
      <c r="J100" s="131">
        <f t="shared" si="24"/>
        <v>893.6999999999999</v>
      </c>
      <c r="K100" s="85">
        <f t="shared" si="24"/>
        <v>14337.40000000001</v>
      </c>
      <c r="L100" s="131">
        <f t="shared" si="24"/>
        <v>5573.499999999997</v>
      </c>
      <c r="M100" s="85">
        <f t="shared" si="24"/>
        <v>4358.199999999999</v>
      </c>
      <c r="N100" s="85">
        <f t="shared" si="24"/>
        <v>4141.6</v>
      </c>
      <c r="O100" s="85">
        <f t="shared" si="24"/>
        <v>4410.099999999999</v>
      </c>
      <c r="P100" s="85">
        <f t="shared" si="24"/>
        <v>3992.2999999999997</v>
      </c>
      <c r="Q100" s="85">
        <f t="shared" si="24"/>
        <v>12864.499999999998</v>
      </c>
      <c r="R100" s="85">
        <f t="shared" si="24"/>
        <v>4310.600000000001</v>
      </c>
      <c r="S100" s="85">
        <f t="shared" si="24"/>
        <v>4536.700000000001</v>
      </c>
      <c r="T100" s="85">
        <f t="shared" si="24"/>
        <v>13981.000000000002</v>
      </c>
      <c r="U100" s="85">
        <f t="shared" si="24"/>
        <v>23175.099999999988</v>
      </c>
      <c r="V100" s="85">
        <f t="shared" si="24"/>
        <v>2259.699999999999</v>
      </c>
      <c r="W100" s="85">
        <f t="shared" si="24"/>
        <v>1268.7999999999997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123647.79999999999</v>
      </c>
      <c r="AG100" s="85">
        <f>AG94-AG95-AG96-AG97-AG98-AG99</f>
        <v>71877.50999999998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4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71" sqref="B7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18" bestFit="1" customWidth="1"/>
    <col min="13" max="13" width="9.00390625" style="0" customWidth="1"/>
    <col min="14" max="14" width="8.25390625" style="0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5" width="8.75390625" style="18" customWidth="1"/>
    <col min="26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0" t="s">
        <v>12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</row>
    <row r="2" spans="1:33" ht="22.5" customHeight="1">
      <c r="A2" s="161" t="s">
        <v>67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66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19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8">
        <v>26</v>
      </c>
      <c r="W4" s="8">
        <v>27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25658</v>
      </c>
      <c r="C7" s="129">
        <v>9399.550000000014</v>
      </c>
      <c r="D7" s="38"/>
      <c r="E7" s="38">
        <v>12829</v>
      </c>
      <c r="F7" s="38"/>
      <c r="G7" s="38"/>
      <c r="H7" s="56"/>
      <c r="I7" s="38"/>
      <c r="J7" s="39"/>
      <c r="K7" s="38">
        <v>12829</v>
      </c>
      <c r="L7" s="39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17602.750000000015</v>
      </c>
      <c r="AF7" s="54"/>
      <c r="AG7" s="40"/>
    </row>
    <row r="8" spans="1:55" ht="18" customHeight="1">
      <c r="A8" s="47" t="s">
        <v>30</v>
      </c>
      <c r="B8" s="33">
        <f>SUM(E8:AB8)</f>
        <v>129174.30000000003</v>
      </c>
      <c r="C8" s="103">
        <v>101164.67000000007</v>
      </c>
      <c r="D8" s="59">
        <v>16148.5</v>
      </c>
      <c r="E8" s="60">
        <v>3795.9</v>
      </c>
      <c r="F8" s="137">
        <v>3366.1</v>
      </c>
      <c r="G8" s="137">
        <v>3089.3</v>
      </c>
      <c r="H8" s="137">
        <v>6981.7</v>
      </c>
      <c r="I8" s="137">
        <v>14867.5</v>
      </c>
      <c r="J8" s="138">
        <v>4354.6</v>
      </c>
      <c r="K8" s="138">
        <v>3193.4</v>
      </c>
      <c r="L8" s="138">
        <v>2843.5</v>
      </c>
      <c r="M8" s="137">
        <v>3863</v>
      </c>
      <c r="N8" s="137">
        <v>9444.8</v>
      </c>
      <c r="O8" s="137">
        <v>5945.9</v>
      </c>
      <c r="P8" s="137">
        <v>3828.9</v>
      </c>
      <c r="Q8" s="137">
        <v>4502.1</v>
      </c>
      <c r="R8" s="137">
        <v>6418.6</v>
      </c>
      <c r="S8" s="63">
        <v>12087</v>
      </c>
      <c r="T8" s="63">
        <v>4484.6</v>
      </c>
      <c r="U8" s="61">
        <v>3995</v>
      </c>
      <c r="V8" s="61">
        <v>2960.1</v>
      </c>
      <c r="W8" s="61">
        <v>7240.8</v>
      </c>
      <c r="X8" s="62">
        <v>10281.4</v>
      </c>
      <c r="Y8" s="62">
        <v>11630.1</v>
      </c>
      <c r="Z8" s="62"/>
      <c r="AA8" s="62"/>
      <c r="AB8" s="61"/>
      <c r="AC8" s="64"/>
      <c r="AD8" s="64"/>
      <c r="AE8" s="65">
        <f>SUM(D8:AD8)+C8-AF9+AF16+AF25</f>
        <v>131585.37000000005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172033.74548999997</v>
      </c>
      <c r="C9" s="104">
        <f aca="true" t="shared" si="0" ref="C9:AD9">C10+C15+C24+C33+C47+C52+C54+C61+C62+C71+C72+C88+C76+C81+C83+C82+C69+C89+C90+C91+C70+C40+C92</f>
        <v>104190.64999999998</v>
      </c>
      <c r="D9" s="68">
        <f t="shared" si="0"/>
        <v>652.1999999999999</v>
      </c>
      <c r="E9" s="68">
        <f t="shared" si="0"/>
        <v>3657.8999999999996</v>
      </c>
      <c r="F9" s="68">
        <f t="shared" si="0"/>
        <v>3803.1000000000004</v>
      </c>
      <c r="G9" s="68">
        <f t="shared" si="0"/>
        <v>6459</v>
      </c>
      <c r="H9" s="68">
        <f t="shared" si="0"/>
        <v>3263.7000000000003</v>
      </c>
      <c r="I9" s="68">
        <f t="shared" si="0"/>
        <v>2431.0000000000005</v>
      </c>
      <c r="J9" s="104">
        <f t="shared" si="0"/>
        <v>6228</v>
      </c>
      <c r="K9" s="68">
        <f t="shared" si="0"/>
        <v>13418.9</v>
      </c>
      <c r="L9" s="104">
        <f>L10+L15+L24+L33+L47+L52+L54+L61+L62+L71+L72+L88+L76+L81+L83+L82+L69+L89+L90+L91+L70+L40+L92</f>
        <v>15494.6</v>
      </c>
      <c r="M9" s="68">
        <f t="shared" si="0"/>
        <v>9703.400000000001</v>
      </c>
      <c r="N9" s="68">
        <f t="shared" si="0"/>
        <v>4805.5999999999985</v>
      </c>
      <c r="O9" s="68">
        <f t="shared" si="0"/>
        <v>1441.7000000000003</v>
      </c>
      <c r="P9" s="68">
        <f t="shared" si="0"/>
        <v>6120</v>
      </c>
      <c r="Q9" s="68">
        <f t="shared" si="0"/>
        <v>2462.6000000000004</v>
      </c>
      <c r="R9" s="68">
        <f t="shared" si="0"/>
        <v>3874.6</v>
      </c>
      <c r="S9" s="68">
        <f t="shared" si="0"/>
        <v>298.09999999999997</v>
      </c>
      <c r="T9" s="68">
        <f t="shared" si="0"/>
        <v>1177.1999999999998</v>
      </c>
      <c r="U9" s="68">
        <f t="shared" si="0"/>
        <v>3175.6000000000004</v>
      </c>
      <c r="V9" s="68">
        <f t="shared" si="0"/>
        <v>20566.3</v>
      </c>
      <c r="W9" s="68">
        <f t="shared" si="0"/>
        <v>19935.2</v>
      </c>
      <c r="X9" s="68">
        <f t="shared" si="0"/>
        <v>2215.1</v>
      </c>
      <c r="Y9" s="68">
        <f t="shared" si="0"/>
        <v>1173.1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132356.90000000002</v>
      </c>
      <c r="AG9" s="69">
        <f>AG10+AG15+AG24+AG33+AG47+AG52+AG54+AG61+AG62+AG71+AG72+AG76+AG88+AG81+AG83+AG82+AG69+AG89+AG91+AG90+AG70+AG40+AG92</f>
        <v>143867.49549</v>
      </c>
      <c r="AH9" s="41"/>
      <c r="AI9" s="41"/>
    </row>
    <row r="10" spans="1:34" ht="15.75">
      <c r="A10" s="4" t="s">
        <v>4</v>
      </c>
      <c r="B10" s="72">
        <v>18209.9</v>
      </c>
      <c r="C10" s="72">
        <v>4950.100000000002</v>
      </c>
      <c r="D10" s="67">
        <f>635.4-0.5</f>
        <v>634.9</v>
      </c>
      <c r="E10" s="67">
        <v>322.5</v>
      </c>
      <c r="F10" s="67">
        <v>214.5</v>
      </c>
      <c r="G10" s="67">
        <v>108.9</v>
      </c>
      <c r="H10" s="67">
        <v>144.4</v>
      </c>
      <c r="I10" s="67">
        <v>27.6</v>
      </c>
      <c r="J10" s="70">
        <v>727.7</v>
      </c>
      <c r="K10" s="67">
        <v>3006</v>
      </c>
      <c r="L10" s="72">
        <v>2574.2</v>
      </c>
      <c r="M10" s="67">
        <v>0.9</v>
      </c>
      <c r="N10" s="67">
        <v>10.4</v>
      </c>
      <c r="O10" s="71">
        <v>54.6</v>
      </c>
      <c r="P10" s="67">
        <v>152.2</v>
      </c>
      <c r="Q10" s="67">
        <v>203.5</v>
      </c>
      <c r="R10" s="67">
        <v>3.5</v>
      </c>
      <c r="S10" s="72">
        <v>78.3</v>
      </c>
      <c r="T10" s="72">
        <v>1.5</v>
      </c>
      <c r="U10" s="72">
        <v>60.6</v>
      </c>
      <c r="V10" s="72">
        <v>3414.2</v>
      </c>
      <c r="W10" s="72">
        <v>5016.1</v>
      </c>
      <c r="X10" s="67">
        <v>1346.4</v>
      </c>
      <c r="Y10" s="71"/>
      <c r="Z10" s="72"/>
      <c r="AA10" s="72"/>
      <c r="AB10" s="67"/>
      <c r="AC10" s="67"/>
      <c r="AD10" s="67"/>
      <c r="AE10" s="67"/>
      <c r="AF10" s="67">
        <f>SUM(D10:AD10)</f>
        <v>18102.9</v>
      </c>
      <c r="AG10" s="72">
        <f>B10+C10-AF10</f>
        <v>5057.100000000002</v>
      </c>
      <c r="AH10" s="18"/>
    </row>
    <row r="11" spans="1:34" ht="15.75">
      <c r="A11" s="3" t="s">
        <v>5</v>
      </c>
      <c r="B11" s="72">
        <f>17148.9+260-48.3+22+123</f>
        <v>17505.600000000002</v>
      </c>
      <c r="C11" s="72">
        <v>2279.119999999999</v>
      </c>
      <c r="D11" s="67">
        <v>634.9</v>
      </c>
      <c r="E11" s="67">
        <v>280.2</v>
      </c>
      <c r="F11" s="67">
        <v>118.6</v>
      </c>
      <c r="G11" s="67"/>
      <c r="H11" s="67">
        <v>104.1</v>
      </c>
      <c r="I11" s="67"/>
      <c r="J11" s="72">
        <v>709.5</v>
      </c>
      <c r="K11" s="67">
        <v>2940.2</v>
      </c>
      <c r="L11" s="72">
        <v>2536.7</v>
      </c>
      <c r="M11" s="67"/>
      <c r="N11" s="67"/>
      <c r="O11" s="71">
        <v>27.1</v>
      </c>
      <c r="P11" s="67">
        <v>148.3</v>
      </c>
      <c r="Q11" s="67">
        <v>134.2</v>
      </c>
      <c r="R11" s="67"/>
      <c r="S11" s="72"/>
      <c r="T11" s="72"/>
      <c r="U11" s="72"/>
      <c r="V11" s="72">
        <v>3266</v>
      </c>
      <c r="W11" s="72">
        <v>4991.3</v>
      </c>
      <c r="X11" s="67">
        <v>1345.8</v>
      </c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17236.899999999998</v>
      </c>
      <c r="AG11" s="72">
        <f>B11+C11-AF11</f>
        <v>2547.8200000000033</v>
      </c>
      <c r="AH11" s="18"/>
    </row>
    <row r="12" spans="1:34" ht="15.75">
      <c r="A12" s="3" t="s">
        <v>2</v>
      </c>
      <c r="B12" s="70">
        <v>98.1</v>
      </c>
      <c r="C12" s="72">
        <v>269.7</v>
      </c>
      <c r="D12" s="67"/>
      <c r="E12" s="67"/>
      <c r="F12" s="67">
        <v>5.5</v>
      </c>
      <c r="G12" s="67"/>
      <c r="H12" s="67"/>
      <c r="I12" s="67"/>
      <c r="J12" s="72"/>
      <c r="K12" s="67">
        <v>20.1</v>
      </c>
      <c r="L12" s="72"/>
      <c r="M12" s="67">
        <v>0.9</v>
      </c>
      <c r="N12" s="67"/>
      <c r="O12" s="71"/>
      <c r="P12" s="67"/>
      <c r="Q12" s="67"/>
      <c r="R12" s="67"/>
      <c r="S12" s="72"/>
      <c r="T12" s="72"/>
      <c r="U12" s="72">
        <v>46.6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73.1</v>
      </c>
      <c r="AG12" s="72">
        <f>B12+C12-AF12</f>
        <v>294.69999999999993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606.1999999999992</v>
      </c>
      <c r="C14" s="72">
        <f t="shared" si="2"/>
        <v>2401.2800000000034</v>
      </c>
      <c r="D14" s="67">
        <f t="shared" si="2"/>
        <v>0</v>
      </c>
      <c r="E14" s="67">
        <f t="shared" si="2"/>
        <v>42.30000000000001</v>
      </c>
      <c r="F14" s="67">
        <f t="shared" si="2"/>
        <v>90.4</v>
      </c>
      <c r="G14" s="67">
        <f t="shared" si="2"/>
        <v>108.9</v>
      </c>
      <c r="H14" s="67">
        <f t="shared" si="2"/>
        <v>40.30000000000001</v>
      </c>
      <c r="I14" s="67">
        <f t="shared" si="2"/>
        <v>27.6</v>
      </c>
      <c r="J14" s="72">
        <f t="shared" si="2"/>
        <v>18.200000000000045</v>
      </c>
      <c r="K14" s="67">
        <f t="shared" si="2"/>
        <v>45.70000000000018</v>
      </c>
      <c r="L14" s="72">
        <f t="shared" si="2"/>
        <v>37.5</v>
      </c>
      <c r="M14" s="67">
        <f t="shared" si="2"/>
        <v>0</v>
      </c>
      <c r="N14" s="67">
        <f t="shared" si="2"/>
        <v>10.4</v>
      </c>
      <c r="O14" s="67">
        <f t="shared" si="2"/>
        <v>27.5</v>
      </c>
      <c r="P14" s="67">
        <f t="shared" si="2"/>
        <v>3.8999999999999773</v>
      </c>
      <c r="Q14" s="67">
        <f t="shared" si="2"/>
        <v>69.30000000000001</v>
      </c>
      <c r="R14" s="67">
        <f t="shared" si="2"/>
        <v>3.5</v>
      </c>
      <c r="S14" s="67">
        <f t="shared" si="2"/>
        <v>78.3</v>
      </c>
      <c r="T14" s="67">
        <f t="shared" si="2"/>
        <v>1.5</v>
      </c>
      <c r="U14" s="67">
        <f t="shared" si="2"/>
        <v>14</v>
      </c>
      <c r="V14" s="67">
        <f t="shared" si="2"/>
        <v>148.19999999999982</v>
      </c>
      <c r="W14" s="67">
        <f t="shared" si="2"/>
        <v>24.800000000000182</v>
      </c>
      <c r="X14" s="67">
        <f t="shared" si="2"/>
        <v>0.6000000000001364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792.9000000000003</v>
      </c>
      <c r="AG14" s="72">
        <f>AG10-AG11-AG12-AG13</f>
        <v>2214.579999999999</v>
      </c>
      <c r="AH14" s="18"/>
    </row>
    <row r="15" spans="1:35" ht="15" customHeight="1">
      <c r="A15" s="4" t="s">
        <v>6</v>
      </c>
      <c r="B15" s="72">
        <v>38664.6</v>
      </c>
      <c r="C15" s="72">
        <v>32135.600000000006</v>
      </c>
      <c r="D15" s="73"/>
      <c r="E15" s="73">
        <f>1748.2+179.9</f>
        <v>1928.1000000000001</v>
      </c>
      <c r="F15" s="67"/>
      <c r="G15" s="67">
        <v>491.9</v>
      </c>
      <c r="H15" s="67">
        <v>261.6</v>
      </c>
      <c r="I15" s="67">
        <v>360.8</v>
      </c>
      <c r="J15" s="72">
        <v>4.6</v>
      </c>
      <c r="K15" s="67">
        <f>9436.7+764</f>
        <v>10200.7</v>
      </c>
      <c r="L15" s="72">
        <v>333</v>
      </c>
      <c r="M15" s="67">
        <v>923.3</v>
      </c>
      <c r="N15" s="67">
        <v>3162.4</v>
      </c>
      <c r="O15" s="71">
        <v>23.8</v>
      </c>
      <c r="P15" s="67"/>
      <c r="Q15" s="71">
        <v>747.2</v>
      </c>
      <c r="R15" s="67">
        <v>396.8</v>
      </c>
      <c r="S15" s="72">
        <v>17.7</v>
      </c>
      <c r="T15" s="72">
        <v>154</v>
      </c>
      <c r="U15" s="72">
        <v>1415.7</v>
      </c>
      <c r="V15" s="72">
        <v>10486.3</v>
      </c>
      <c r="W15" s="72">
        <v>120.4</v>
      </c>
      <c r="X15" s="67">
        <v>12</v>
      </c>
      <c r="Y15" s="72"/>
      <c r="Z15" s="72"/>
      <c r="AA15" s="72"/>
      <c r="AB15" s="67"/>
      <c r="AC15" s="67"/>
      <c r="AD15" s="67"/>
      <c r="AE15" s="67"/>
      <c r="AF15" s="71">
        <f t="shared" si="1"/>
        <v>31040.300000000003</v>
      </c>
      <c r="AG15" s="72">
        <f aca="true" t="shared" si="3" ref="AG15:AG31">B15+C15-AF15</f>
        <v>39759.90000000001</v>
      </c>
      <c r="AH15" s="18"/>
      <c r="AI15" s="86"/>
    </row>
    <row r="16" spans="1:34" s="53" customFormat="1" ht="15" customHeight="1">
      <c r="A16" s="51" t="s">
        <v>38</v>
      </c>
      <c r="B16" s="76">
        <v>9963.4</v>
      </c>
      <c r="C16" s="76">
        <v>3497.5999999999985</v>
      </c>
      <c r="D16" s="74"/>
      <c r="E16" s="74">
        <v>179.9</v>
      </c>
      <c r="F16" s="75"/>
      <c r="G16" s="75"/>
      <c r="H16" s="75"/>
      <c r="I16" s="75"/>
      <c r="J16" s="76"/>
      <c r="K16" s="75">
        <v>764</v>
      </c>
      <c r="L16" s="76"/>
      <c r="M16" s="75"/>
      <c r="N16" s="75"/>
      <c r="O16" s="77"/>
      <c r="P16" s="75"/>
      <c r="Q16" s="77"/>
      <c r="R16" s="75"/>
      <c r="S16" s="76"/>
      <c r="T16" s="76"/>
      <c r="U16" s="76"/>
      <c r="V16" s="76">
        <v>816.4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1760.3</v>
      </c>
      <c r="AG16" s="115">
        <f t="shared" si="3"/>
        <v>11700.699999999999</v>
      </c>
      <c r="AH16" s="116"/>
    </row>
    <row r="17" spans="1:34" ht="15.75">
      <c r="A17" s="3" t="s">
        <v>5</v>
      </c>
      <c r="B17" s="72">
        <v>33008.92</v>
      </c>
      <c r="C17" s="72">
        <v>13713.399999999994</v>
      </c>
      <c r="D17" s="67"/>
      <c r="E17" s="67">
        <f>1748.2+179.9</f>
        <v>1928.1000000000001</v>
      </c>
      <c r="F17" s="67"/>
      <c r="G17" s="67"/>
      <c r="H17" s="67"/>
      <c r="I17" s="67"/>
      <c r="J17" s="72"/>
      <c r="K17" s="67">
        <f>9436.7+764</f>
        <v>10200.7</v>
      </c>
      <c r="L17" s="72"/>
      <c r="M17" s="67"/>
      <c r="N17" s="67"/>
      <c r="O17" s="71"/>
      <c r="P17" s="67"/>
      <c r="Q17" s="71"/>
      <c r="R17" s="67"/>
      <c r="S17" s="72"/>
      <c r="T17" s="72"/>
      <c r="U17" s="72"/>
      <c r="V17" s="72">
        <v>10205.6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22334.4</v>
      </c>
      <c r="AG17" s="72">
        <f t="shared" si="3"/>
        <v>24387.91999999999</v>
      </c>
      <c r="AH17" s="21"/>
    </row>
    <row r="18" spans="1:34" ht="15.75">
      <c r="A18" s="3" t="s">
        <v>3</v>
      </c>
      <c r="B18" s="72">
        <v>0</v>
      </c>
      <c r="C18" s="72">
        <v>9.499999999999998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9.499999999999998</v>
      </c>
      <c r="AH18" s="18"/>
    </row>
    <row r="19" spans="1:34" ht="15.75">
      <c r="A19" s="3" t="s">
        <v>1</v>
      </c>
      <c r="B19" s="72">
        <v>1010.8</v>
      </c>
      <c r="C19" s="72">
        <v>8728.1</v>
      </c>
      <c r="D19" s="67"/>
      <c r="E19" s="67"/>
      <c r="F19" s="67"/>
      <c r="G19" s="67">
        <v>66.6</v>
      </c>
      <c r="H19" s="67"/>
      <c r="I19" s="67"/>
      <c r="J19" s="72"/>
      <c r="K19" s="67"/>
      <c r="L19" s="72"/>
      <c r="M19" s="67">
        <v>594.1</v>
      </c>
      <c r="N19" s="67">
        <v>2621.2</v>
      </c>
      <c r="O19" s="71"/>
      <c r="P19" s="67"/>
      <c r="Q19" s="71">
        <v>74.9</v>
      </c>
      <c r="R19" s="67"/>
      <c r="S19" s="72"/>
      <c r="T19" s="72"/>
      <c r="U19" s="72"/>
      <c r="V19" s="72">
        <v>4.9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3361.7</v>
      </c>
      <c r="AG19" s="72">
        <f t="shared" si="3"/>
        <v>6377.2</v>
      </c>
      <c r="AH19" s="18"/>
    </row>
    <row r="20" spans="1:34" ht="15.75">
      <c r="A20" s="3" t="s">
        <v>2</v>
      </c>
      <c r="B20" s="72">
        <v>826.65</v>
      </c>
      <c r="C20" s="72">
        <v>1308.7999999999997</v>
      </c>
      <c r="D20" s="67"/>
      <c r="E20" s="67"/>
      <c r="F20" s="67"/>
      <c r="G20" s="67">
        <v>52.2</v>
      </c>
      <c r="H20" s="67">
        <v>29.8</v>
      </c>
      <c r="I20" s="67">
        <v>4.4</v>
      </c>
      <c r="J20" s="72"/>
      <c r="K20" s="67"/>
      <c r="L20" s="72">
        <v>265.7</v>
      </c>
      <c r="M20" s="67">
        <v>13.7</v>
      </c>
      <c r="N20" s="67">
        <v>1.8</v>
      </c>
      <c r="O20" s="71">
        <v>14.9</v>
      </c>
      <c r="P20" s="67"/>
      <c r="Q20" s="71">
        <v>105.3</v>
      </c>
      <c r="R20" s="67">
        <v>347.5</v>
      </c>
      <c r="S20" s="72">
        <v>13.9</v>
      </c>
      <c r="T20" s="72">
        <v>4.3</v>
      </c>
      <c r="U20" s="72">
        <v>12.8</v>
      </c>
      <c r="V20" s="72">
        <v>163.5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1029.7999999999997</v>
      </c>
      <c r="AG20" s="72">
        <f t="shared" si="3"/>
        <v>1105.65</v>
      </c>
      <c r="AH20" s="18"/>
    </row>
    <row r="21" spans="1:34" ht="15.75">
      <c r="A21" s="3" t="s">
        <v>16</v>
      </c>
      <c r="B21" s="72">
        <v>988.4</v>
      </c>
      <c r="C21" s="72">
        <v>52</v>
      </c>
      <c r="D21" s="67"/>
      <c r="E21" s="67"/>
      <c r="F21" s="67"/>
      <c r="G21" s="67">
        <f>120.2+11</f>
        <v>131.2</v>
      </c>
      <c r="H21" s="67"/>
      <c r="I21" s="67"/>
      <c r="J21" s="72"/>
      <c r="K21" s="67"/>
      <c r="L21" s="72"/>
      <c r="M21" s="67">
        <f>238.1+77.3</f>
        <v>315.4</v>
      </c>
      <c r="N21" s="67"/>
      <c r="O21" s="71"/>
      <c r="P21" s="67"/>
      <c r="Q21" s="71">
        <f>88.4+90.7</f>
        <v>179.10000000000002</v>
      </c>
      <c r="R21" s="67"/>
      <c r="S21" s="72"/>
      <c r="T21" s="72">
        <v>143.6</v>
      </c>
      <c r="U21" s="67">
        <v>33.1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802.4000000000001</v>
      </c>
      <c r="AG21" s="72">
        <f t="shared" si="3"/>
        <v>238</v>
      </c>
      <c r="AH21" s="18"/>
    </row>
    <row r="22" spans="1:34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2829.83</v>
      </c>
      <c r="C23" s="72">
        <f t="shared" si="4"/>
        <v>8323.800000000012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241.89999999999998</v>
      </c>
      <c r="H23" s="67">
        <f t="shared" si="4"/>
        <v>231.8</v>
      </c>
      <c r="I23" s="67">
        <f t="shared" si="4"/>
        <v>356.40000000000003</v>
      </c>
      <c r="J23" s="72">
        <f t="shared" si="4"/>
        <v>4.6</v>
      </c>
      <c r="K23" s="67">
        <f t="shared" si="4"/>
        <v>0</v>
      </c>
      <c r="L23" s="72">
        <f t="shared" si="4"/>
        <v>67.30000000000001</v>
      </c>
      <c r="M23" s="67">
        <f t="shared" si="4"/>
        <v>0.0999999999999659</v>
      </c>
      <c r="N23" s="67">
        <f t="shared" si="4"/>
        <v>539.4000000000003</v>
      </c>
      <c r="O23" s="67">
        <f t="shared" si="4"/>
        <v>8.9</v>
      </c>
      <c r="P23" s="67">
        <f t="shared" si="4"/>
        <v>0</v>
      </c>
      <c r="Q23" s="67">
        <f t="shared" si="4"/>
        <v>387.9000000000001</v>
      </c>
      <c r="R23" s="67">
        <f t="shared" si="4"/>
        <v>49.30000000000001</v>
      </c>
      <c r="S23" s="67">
        <f t="shared" si="4"/>
        <v>3.799999999999999</v>
      </c>
      <c r="T23" s="67">
        <f t="shared" si="4"/>
        <v>6.099999999999994</v>
      </c>
      <c r="U23" s="67">
        <f t="shared" si="4"/>
        <v>1369.8000000000002</v>
      </c>
      <c r="V23" s="67">
        <f t="shared" si="4"/>
        <v>112.29999999999893</v>
      </c>
      <c r="W23" s="67">
        <f t="shared" si="4"/>
        <v>120.4</v>
      </c>
      <c r="X23" s="67">
        <f t="shared" si="4"/>
        <v>12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3511.999999999999</v>
      </c>
      <c r="AG23" s="72">
        <f>B23+C23-AF23</f>
        <v>7641.630000000013</v>
      </c>
      <c r="AH23" s="18"/>
    </row>
    <row r="24" spans="1:35" ht="15" customHeight="1">
      <c r="A24" s="4" t="s">
        <v>7</v>
      </c>
      <c r="B24" s="72">
        <v>35172.5</v>
      </c>
      <c r="C24" s="72">
        <v>7358.999999999985</v>
      </c>
      <c r="D24" s="67"/>
      <c r="E24" s="67"/>
      <c r="F24" s="67">
        <v>5.5</v>
      </c>
      <c r="G24" s="67"/>
      <c r="H24" s="67"/>
      <c r="I24" s="67">
        <f>990.7+759.8</f>
        <v>1750.5</v>
      </c>
      <c r="J24" s="72">
        <v>0.1</v>
      </c>
      <c r="K24" s="67"/>
      <c r="L24" s="72">
        <f>513.6+9223.7</f>
        <v>9737.300000000001</v>
      </c>
      <c r="M24" s="67">
        <f>482.3+471.7</f>
        <v>954</v>
      </c>
      <c r="N24" s="67">
        <v>91.5</v>
      </c>
      <c r="O24" s="71"/>
      <c r="P24" s="67">
        <v>98.7</v>
      </c>
      <c r="Q24" s="71">
        <v>181.5</v>
      </c>
      <c r="R24" s="71">
        <v>1347.7</v>
      </c>
      <c r="S24" s="72">
        <v>130.7</v>
      </c>
      <c r="T24" s="72"/>
      <c r="U24" s="72"/>
      <c r="V24" s="72">
        <v>313.8</v>
      </c>
      <c r="W24" s="72">
        <v>13323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27934.300000000003</v>
      </c>
      <c r="AG24" s="72">
        <f>B24+C24-AF24</f>
        <v>14597.199999999983</v>
      </c>
      <c r="AI24" s="86"/>
    </row>
    <row r="25" spans="1:35" s="117" customFormat="1" ht="15" customHeight="1">
      <c r="A25" s="113" t="s">
        <v>39</v>
      </c>
      <c r="B25" s="76">
        <v>15694.5</v>
      </c>
      <c r="C25" s="76">
        <v>308.09999999999854</v>
      </c>
      <c r="D25" s="76"/>
      <c r="E25" s="76"/>
      <c r="F25" s="76"/>
      <c r="G25" s="76"/>
      <c r="H25" s="76"/>
      <c r="I25" s="76">
        <v>759.8</v>
      </c>
      <c r="J25" s="76"/>
      <c r="K25" s="76"/>
      <c r="L25" s="76">
        <v>9223.7</v>
      </c>
      <c r="M25" s="76">
        <v>471.7</v>
      </c>
      <c r="N25" s="76"/>
      <c r="O25" s="76"/>
      <c r="P25" s="76">
        <v>98.7</v>
      </c>
      <c r="Q25" s="76">
        <v>181.5</v>
      </c>
      <c r="R25" s="76">
        <v>703.8</v>
      </c>
      <c r="S25" s="76">
        <v>66.7</v>
      </c>
      <c r="T25" s="76"/>
      <c r="U25" s="76"/>
      <c r="V25" s="76">
        <v>294.4</v>
      </c>
      <c r="W25" s="76">
        <v>3894.2</v>
      </c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15694.5</v>
      </c>
      <c r="AG25" s="115">
        <f t="shared" si="3"/>
        <v>308.09999999999854</v>
      </c>
      <c r="AH25" s="116"/>
      <c r="AI25" s="142"/>
    </row>
    <row r="26" spans="1:34" ht="15.7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/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35172.5</v>
      </c>
      <c r="C32" s="72">
        <f>C24</f>
        <v>7358.999999999985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5.5</v>
      </c>
      <c r="G32" s="67">
        <f t="shared" si="5"/>
        <v>0</v>
      </c>
      <c r="H32" s="67">
        <f t="shared" si="5"/>
        <v>0</v>
      </c>
      <c r="I32" s="67">
        <f t="shared" si="5"/>
        <v>1750.5</v>
      </c>
      <c r="J32" s="72">
        <f t="shared" si="5"/>
        <v>0.1</v>
      </c>
      <c r="K32" s="67">
        <f t="shared" si="5"/>
        <v>0</v>
      </c>
      <c r="L32" s="72">
        <f t="shared" si="5"/>
        <v>9737.300000000001</v>
      </c>
      <c r="M32" s="67">
        <f t="shared" si="5"/>
        <v>954</v>
      </c>
      <c r="N32" s="67">
        <f t="shared" si="5"/>
        <v>91.5</v>
      </c>
      <c r="O32" s="67">
        <f t="shared" si="5"/>
        <v>0</v>
      </c>
      <c r="P32" s="67">
        <f t="shared" si="5"/>
        <v>98.7</v>
      </c>
      <c r="Q32" s="67">
        <f t="shared" si="5"/>
        <v>181.5</v>
      </c>
      <c r="R32" s="67">
        <f t="shared" si="5"/>
        <v>1347.7</v>
      </c>
      <c r="S32" s="67">
        <f t="shared" si="5"/>
        <v>130.7</v>
      </c>
      <c r="T32" s="67">
        <f t="shared" si="5"/>
        <v>0</v>
      </c>
      <c r="U32" s="67">
        <f t="shared" si="5"/>
        <v>0</v>
      </c>
      <c r="V32" s="67">
        <f t="shared" si="5"/>
        <v>313.8</v>
      </c>
      <c r="W32" s="67">
        <f t="shared" si="5"/>
        <v>13323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27934.300000000003</v>
      </c>
      <c r="AG32" s="72">
        <f>AG24</f>
        <v>14597.199999999983</v>
      </c>
    </row>
    <row r="33" spans="1:33" s="18" customFormat="1" ht="15" customHeight="1">
      <c r="A33" s="108" t="s">
        <v>8</v>
      </c>
      <c r="B33" s="72">
        <v>2206</v>
      </c>
      <c r="C33" s="72">
        <v>1923.49</v>
      </c>
      <c r="D33" s="72"/>
      <c r="E33" s="72"/>
      <c r="F33" s="72"/>
      <c r="G33" s="72"/>
      <c r="H33" s="72"/>
      <c r="I33" s="72"/>
      <c r="J33" s="72">
        <v>50</v>
      </c>
      <c r="K33" s="72"/>
      <c r="L33" s="72">
        <v>85.8</v>
      </c>
      <c r="M33" s="72"/>
      <c r="N33" s="72">
        <v>1.8</v>
      </c>
      <c r="O33" s="72"/>
      <c r="P33" s="72">
        <v>136</v>
      </c>
      <c r="Q33" s="72"/>
      <c r="R33" s="72"/>
      <c r="S33" s="72"/>
      <c r="T33" s="72">
        <v>93.7</v>
      </c>
      <c r="U33" s="72">
        <f>2.7</f>
        <v>2.7</v>
      </c>
      <c r="V33" s="72">
        <v>167.9</v>
      </c>
      <c r="W33" s="72"/>
      <c r="X33" s="72">
        <v>8.7</v>
      </c>
      <c r="Y33" s="72"/>
      <c r="Z33" s="72"/>
      <c r="AA33" s="72"/>
      <c r="AB33" s="72"/>
      <c r="AC33" s="72"/>
      <c r="AD33" s="72"/>
      <c r="AE33" s="72"/>
      <c r="AF33" s="72">
        <f t="shared" si="1"/>
        <v>546.6</v>
      </c>
      <c r="AG33" s="72">
        <f aca="true" t="shared" si="6" ref="AG33:AG38">B33+C33-AF33</f>
        <v>3582.89</v>
      </c>
    </row>
    <row r="34" spans="1:33" s="18" customFormat="1" ht="15.75">
      <c r="A34" s="110" t="s">
        <v>5</v>
      </c>
      <c r="B34" s="72">
        <v>283.62</v>
      </c>
      <c r="C34" s="72">
        <v>55.69999999999999</v>
      </c>
      <c r="D34" s="72"/>
      <c r="E34" s="72"/>
      <c r="F34" s="72"/>
      <c r="G34" s="72"/>
      <c r="H34" s="72"/>
      <c r="I34" s="72"/>
      <c r="J34" s="72"/>
      <c r="K34" s="72"/>
      <c r="L34" s="72">
        <v>83.9</v>
      </c>
      <c r="M34" s="72"/>
      <c r="N34" s="72"/>
      <c r="O34" s="72"/>
      <c r="P34" s="72"/>
      <c r="Q34" s="72"/>
      <c r="R34" s="72"/>
      <c r="S34" s="72"/>
      <c r="T34" s="72"/>
      <c r="U34" s="72"/>
      <c r="V34" s="72">
        <v>167.9</v>
      </c>
      <c r="W34" s="72"/>
      <c r="X34" s="72"/>
      <c r="Y34" s="72"/>
      <c r="Z34" s="72"/>
      <c r="AA34" s="72"/>
      <c r="AB34" s="72"/>
      <c r="AC34" s="72"/>
      <c r="AD34" s="72"/>
      <c r="AE34" s="72"/>
      <c r="AF34" s="72">
        <f t="shared" si="1"/>
        <v>251.8</v>
      </c>
      <c r="AG34" s="72">
        <f t="shared" si="6"/>
        <v>87.51999999999998</v>
      </c>
    </row>
    <row r="35" spans="1:33" s="18" customFormat="1" ht="15.75">
      <c r="A35" s="110" t="s">
        <v>1</v>
      </c>
      <c r="B35" s="72">
        <v>97.486</v>
      </c>
      <c r="C35" s="72">
        <v>168.59999999999997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>
        <v>93.7</v>
      </c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>
        <f t="shared" si="1"/>
        <v>93.7</v>
      </c>
      <c r="AG35" s="72">
        <f t="shared" si="6"/>
        <v>172.38599999999997</v>
      </c>
    </row>
    <row r="36" spans="1:33" s="18" customFormat="1" ht="15.75">
      <c r="A36" s="110" t="s">
        <v>2</v>
      </c>
      <c r="B36" s="111">
        <v>3</v>
      </c>
      <c r="C36" s="72">
        <v>17.7</v>
      </c>
      <c r="D36" s="72"/>
      <c r="E36" s="72"/>
      <c r="F36" s="72"/>
      <c r="G36" s="72"/>
      <c r="H36" s="72"/>
      <c r="I36" s="72"/>
      <c r="J36" s="72"/>
      <c r="K36" s="72"/>
      <c r="L36" s="72">
        <v>0.1</v>
      </c>
      <c r="M36" s="72"/>
      <c r="N36" s="72"/>
      <c r="O36" s="72"/>
      <c r="P36" s="72"/>
      <c r="Q36" s="72"/>
      <c r="R36" s="72"/>
      <c r="S36" s="72"/>
      <c r="T36" s="72"/>
      <c r="U36" s="72">
        <v>2.2</v>
      </c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>
        <f t="shared" si="1"/>
        <v>2.3000000000000003</v>
      </c>
      <c r="AG36" s="72">
        <f t="shared" si="6"/>
        <v>18.4</v>
      </c>
    </row>
    <row r="37" spans="1:33" s="18" customFormat="1" ht="15.75">
      <c r="A37" s="110" t="s">
        <v>16</v>
      </c>
      <c r="B37" s="72">
        <v>1496.964</v>
      </c>
      <c r="C37" s="72">
        <v>1633.1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>
        <v>136</v>
      </c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>
        <f t="shared" si="1"/>
        <v>136</v>
      </c>
      <c r="AG37" s="72">
        <f t="shared" si="6"/>
        <v>2994.064</v>
      </c>
    </row>
    <row r="38" spans="1:33" s="18" customFormat="1" ht="15.75" hidden="1">
      <c r="A38" s="110" t="s">
        <v>15</v>
      </c>
      <c r="B38" s="72"/>
      <c r="C38" s="72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>
        <f t="shared" si="1"/>
        <v>0</v>
      </c>
      <c r="AG38" s="72">
        <f t="shared" si="6"/>
        <v>0</v>
      </c>
    </row>
    <row r="39" spans="1:33" s="18" customFormat="1" ht="15.75">
      <c r="A39" s="110" t="s">
        <v>23</v>
      </c>
      <c r="B39" s="72">
        <f aca="true" t="shared" si="7" ref="B39:AD39">B33-B34-B36-B38-B37-B35</f>
        <v>324.9300000000002</v>
      </c>
      <c r="C39" s="72">
        <f t="shared" si="7"/>
        <v>48.39000000000004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 t="shared" si="7"/>
        <v>0</v>
      </c>
      <c r="I39" s="72">
        <f t="shared" si="7"/>
        <v>0</v>
      </c>
      <c r="J39" s="72">
        <f t="shared" si="7"/>
        <v>50</v>
      </c>
      <c r="K39" s="72">
        <f t="shared" si="7"/>
        <v>0</v>
      </c>
      <c r="L39" s="72">
        <f t="shared" si="7"/>
        <v>1.7999999999999914</v>
      </c>
      <c r="M39" s="72">
        <f t="shared" si="7"/>
        <v>0</v>
      </c>
      <c r="N39" s="72">
        <f t="shared" si="7"/>
        <v>1.8</v>
      </c>
      <c r="O39" s="72">
        <f t="shared" si="7"/>
        <v>0</v>
      </c>
      <c r="P39" s="72">
        <f t="shared" si="7"/>
        <v>0</v>
      </c>
      <c r="Q39" s="72">
        <f t="shared" si="7"/>
        <v>0</v>
      </c>
      <c r="R39" s="72">
        <f t="shared" si="7"/>
        <v>0</v>
      </c>
      <c r="S39" s="72">
        <f t="shared" si="7"/>
        <v>0</v>
      </c>
      <c r="T39" s="72">
        <f t="shared" si="7"/>
        <v>0</v>
      </c>
      <c r="U39" s="72">
        <f t="shared" si="7"/>
        <v>0.5</v>
      </c>
      <c r="V39" s="72">
        <f t="shared" si="7"/>
        <v>0</v>
      </c>
      <c r="W39" s="72">
        <f t="shared" si="7"/>
        <v>0</v>
      </c>
      <c r="X39" s="72">
        <f t="shared" si="7"/>
        <v>8.7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/>
      <c r="AF39" s="72">
        <f t="shared" si="1"/>
        <v>62.79999999999998</v>
      </c>
      <c r="AG39" s="72">
        <f>AG33-AG34-AG36-AG38-AG35-AG37</f>
        <v>310.52</v>
      </c>
    </row>
    <row r="40" spans="1:33" s="18" customFormat="1" ht="15" customHeight="1">
      <c r="A40" s="108" t="s">
        <v>29</v>
      </c>
      <c r="B40" s="72">
        <v>1126.8</v>
      </c>
      <c r="C40" s="72">
        <v>119</v>
      </c>
      <c r="D40" s="72"/>
      <c r="E40" s="72"/>
      <c r="F40" s="72"/>
      <c r="G40" s="72"/>
      <c r="H40" s="72"/>
      <c r="I40" s="72">
        <v>3.8</v>
      </c>
      <c r="J40" s="72"/>
      <c r="K40" s="72"/>
      <c r="L40" s="72">
        <v>389.3</v>
      </c>
      <c r="M40" s="72"/>
      <c r="N40" s="72"/>
      <c r="O40" s="72"/>
      <c r="P40" s="72"/>
      <c r="Q40" s="72"/>
      <c r="R40" s="72"/>
      <c r="S40" s="72"/>
      <c r="T40" s="72"/>
      <c r="U40" s="72"/>
      <c r="V40" s="72">
        <v>707.6</v>
      </c>
      <c r="W40" s="72">
        <v>15</v>
      </c>
      <c r="X40" s="72"/>
      <c r="Y40" s="72"/>
      <c r="Z40" s="72"/>
      <c r="AA40" s="72"/>
      <c r="AB40" s="72"/>
      <c r="AC40" s="72"/>
      <c r="AD40" s="72"/>
      <c r="AE40" s="72"/>
      <c r="AF40" s="72">
        <f t="shared" si="1"/>
        <v>1115.7</v>
      </c>
      <c r="AG40" s="72">
        <f aca="true" t="shared" si="8" ref="AG40:AG45">B40+C40-AF40</f>
        <v>130.0999999999999</v>
      </c>
    </row>
    <row r="41" spans="1:34" s="18" customFormat="1" ht="15.75">
      <c r="A41" s="110" t="s">
        <v>5</v>
      </c>
      <c r="B41" s="72">
        <v>1078.186</v>
      </c>
      <c r="C41" s="72">
        <v>35.899999999999864</v>
      </c>
      <c r="D41" s="72"/>
      <c r="E41" s="72"/>
      <c r="F41" s="72"/>
      <c r="G41" s="72"/>
      <c r="H41" s="72"/>
      <c r="I41" s="72"/>
      <c r="J41" s="72"/>
      <c r="K41" s="72"/>
      <c r="L41" s="72">
        <v>367.7</v>
      </c>
      <c r="M41" s="72"/>
      <c r="N41" s="72"/>
      <c r="O41" s="72"/>
      <c r="P41" s="72"/>
      <c r="Q41" s="72"/>
      <c r="R41" s="72"/>
      <c r="S41" s="72"/>
      <c r="T41" s="72"/>
      <c r="U41" s="72"/>
      <c r="V41" s="72">
        <v>697.1</v>
      </c>
      <c r="W41" s="72">
        <v>14.1</v>
      </c>
      <c r="X41" s="72"/>
      <c r="Y41" s="72"/>
      <c r="Z41" s="72"/>
      <c r="AA41" s="72"/>
      <c r="AB41" s="72"/>
      <c r="AC41" s="72"/>
      <c r="AD41" s="72"/>
      <c r="AE41" s="72"/>
      <c r="AF41" s="72">
        <f t="shared" si="1"/>
        <v>1078.8999999999999</v>
      </c>
      <c r="AG41" s="72">
        <f t="shared" si="8"/>
        <v>35.18599999999992</v>
      </c>
      <c r="AH41" s="21"/>
    </row>
    <row r="42" spans="1:33" s="18" customFormat="1" ht="15.75" hidden="1">
      <c r="A42" s="110" t="s">
        <v>3</v>
      </c>
      <c r="B42" s="72"/>
      <c r="C42" s="72">
        <v>0.8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>
        <f t="shared" si="1"/>
        <v>0</v>
      </c>
      <c r="AG42" s="72">
        <f t="shared" si="8"/>
        <v>0.8</v>
      </c>
    </row>
    <row r="43" spans="1:33" s="18" customFormat="1" ht="15.75">
      <c r="A43" s="110" t="s">
        <v>1</v>
      </c>
      <c r="B43" s="72">
        <v>9.6</v>
      </c>
      <c r="C43" s="72">
        <v>14.6</v>
      </c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>
        <v>7.1</v>
      </c>
      <c r="W43" s="72"/>
      <c r="X43" s="72"/>
      <c r="Y43" s="72"/>
      <c r="Z43" s="72"/>
      <c r="AA43" s="72"/>
      <c r="AB43" s="72"/>
      <c r="AC43" s="72"/>
      <c r="AD43" s="72"/>
      <c r="AE43" s="72"/>
      <c r="AF43" s="72">
        <f t="shared" si="1"/>
        <v>7.1</v>
      </c>
      <c r="AG43" s="72">
        <f t="shared" si="8"/>
        <v>17.1</v>
      </c>
    </row>
    <row r="44" spans="1:33" s="18" customFormat="1" ht="15.75">
      <c r="A44" s="110" t="s">
        <v>2</v>
      </c>
      <c r="B44" s="72">
        <v>6.33</v>
      </c>
      <c r="C44" s="72">
        <v>51</v>
      </c>
      <c r="D44" s="72"/>
      <c r="E44" s="72"/>
      <c r="F44" s="72"/>
      <c r="G44" s="72"/>
      <c r="H44" s="72"/>
      <c r="I44" s="72">
        <v>0.6</v>
      </c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>
        <v>1.4</v>
      </c>
      <c r="W44" s="72">
        <v>0.5</v>
      </c>
      <c r="X44" s="72"/>
      <c r="Y44" s="72"/>
      <c r="Z44" s="72"/>
      <c r="AA44" s="72"/>
      <c r="AB44" s="72"/>
      <c r="AC44" s="72"/>
      <c r="AD44" s="72"/>
      <c r="AE44" s="72"/>
      <c r="AF44" s="72">
        <f t="shared" si="1"/>
        <v>2.5</v>
      </c>
      <c r="AG44" s="72">
        <f t="shared" si="8"/>
        <v>54.83</v>
      </c>
    </row>
    <row r="45" spans="1:33" s="18" customFormat="1" ht="15.75" hidden="1">
      <c r="A45" s="110" t="s">
        <v>15</v>
      </c>
      <c r="B45" s="72"/>
      <c r="C45" s="72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>
        <f t="shared" si="1"/>
        <v>0</v>
      </c>
      <c r="AG45" s="72">
        <f t="shared" si="8"/>
        <v>0</v>
      </c>
    </row>
    <row r="46" spans="1:33" s="18" customFormat="1" ht="15.75">
      <c r="A46" s="110" t="s">
        <v>23</v>
      </c>
      <c r="B46" s="72">
        <f aca="true" t="shared" si="9" ref="B46:AD46">B40-B41-B42-B43-B44-B45</f>
        <v>32.68400000000003</v>
      </c>
      <c r="C46" s="72">
        <f t="shared" si="9"/>
        <v>16.700000000000145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0</v>
      </c>
      <c r="H46" s="72">
        <f t="shared" si="9"/>
        <v>0</v>
      </c>
      <c r="I46" s="72">
        <f t="shared" si="9"/>
        <v>3.1999999999999997</v>
      </c>
      <c r="J46" s="72">
        <f t="shared" si="9"/>
        <v>0</v>
      </c>
      <c r="K46" s="72">
        <f t="shared" si="9"/>
        <v>0</v>
      </c>
      <c r="L46" s="72">
        <f t="shared" si="9"/>
        <v>21.600000000000023</v>
      </c>
      <c r="M46" s="72">
        <f t="shared" si="9"/>
        <v>0</v>
      </c>
      <c r="N46" s="72">
        <f t="shared" si="9"/>
        <v>0</v>
      </c>
      <c r="O46" s="72">
        <f t="shared" si="9"/>
        <v>0</v>
      </c>
      <c r="P46" s="72">
        <f t="shared" si="9"/>
        <v>0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0</v>
      </c>
      <c r="V46" s="72">
        <f t="shared" si="9"/>
        <v>2.0000000000000004</v>
      </c>
      <c r="W46" s="72">
        <f t="shared" si="9"/>
        <v>0.40000000000000036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/>
      <c r="AF46" s="72">
        <f t="shared" si="1"/>
        <v>27.200000000000024</v>
      </c>
      <c r="AG46" s="72">
        <f>AG40-AG41-AG42-AG43-AG44-AG45</f>
        <v>22.183999999999983</v>
      </c>
    </row>
    <row r="47" spans="1:33" s="18" customFormat="1" ht="17.25" customHeight="1">
      <c r="A47" s="108" t="s">
        <v>43</v>
      </c>
      <c r="B47" s="70">
        <v>845.4042299999967</v>
      </c>
      <c r="C47" s="72">
        <v>1303.9899999999998</v>
      </c>
      <c r="D47" s="72"/>
      <c r="E47" s="80">
        <v>45.1</v>
      </c>
      <c r="F47" s="80">
        <v>20.5</v>
      </c>
      <c r="G47" s="80">
        <v>127.1</v>
      </c>
      <c r="H47" s="80">
        <v>4.6</v>
      </c>
      <c r="I47" s="80">
        <v>64.3</v>
      </c>
      <c r="J47" s="80"/>
      <c r="K47" s="80">
        <v>36.4</v>
      </c>
      <c r="L47" s="80">
        <f>328.8-1.6</f>
        <v>327.2</v>
      </c>
      <c r="M47" s="80">
        <v>12.7</v>
      </c>
      <c r="N47" s="80"/>
      <c r="O47" s="80"/>
      <c r="P47" s="80">
        <v>69.9</v>
      </c>
      <c r="Q47" s="80"/>
      <c r="R47" s="80">
        <v>12</v>
      </c>
      <c r="S47" s="80"/>
      <c r="T47" s="80"/>
      <c r="U47" s="80">
        <f>57.5</f>
        <v>57.5</v>
      </c>
      <c r="V47" s="80">
        <v>10.1</v>
      </c>
      <c r="W47" s="80">
        <v>29.2</v>
      </c>
      <c r="X47" s="80"/>
      <c r="Y47" s="80"/>
      <c r="Z47" s="80"/>
      <c r="AA47" s="80"/>
      <c r="AB47" s="80"/>
      <c r="AC47" s="80"/>
      <c r="AD47" s="80"/>
      <c r="AE47" s="80"/>
      <c r="AF47" s="72">
        <f t="shared" si="1"/>
        <v>816.6</v>
      </c>
      <c r="AG47" s="72">
        <f>B47+C47-AF47</f>
        <v>1332.7942299999963</v>
      </c>
    </row>
    <row r="48" spans="1:33" s="18" customFormat="1" ht="15.75">
      <c r="A48" s="110" t="s">
        <v>5</v>
      </c>
      <c r="B48" s="72">
        <v>36.375</v>
      </c>
      <c r="C48" s="72">
        <v>70.4</v>
      </c>
      <c r="D48" s="72"/>
      <c r="E48" s="80"/>
      <c r="F48" s="80"/>
      <c r="G48" s="80"/>
      <c r="H48" s="80"/>
      <c r="I48" s="80"/>
      <c r="J48" s="80"/>
      <c r="K48" s="80">
        <v>30.9</v>
      </c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>
        <v>10.3</v>
      </c>
      <c r="X48" s="80"/>
      <c r="Y48" s="80"/>
      <c r="Z48" s="80"/>
      <c r="AA48" s="80"/>
      <c r="AB48" s="80"/>
      <c r="AC48" s="80"/>
      <c r="AD48" s="80"/>
      <c r="AE48" s="80"/>
      <c r="AF48" s="72">
        <f t="shared" si="1"/>
        <v>41.2</v>
      </c>
      <c r="AG48" s="72">
        <f>B48+C48-AF48</f>
        <v>65.575</v>
      </c>
    </row>
    <row r="49" spans="1:33" ht="15.75">
      <c r="A49" s="3" t="s">
        <v>16</v>
      </c>
      <c r="B49" s="72">
        <v>610.402</v>
      </c>
      <c r="C49" s="72">
        <v>743.6700000000001</v>
      </c>
      <c r="D49" s="67"/>
      <c r="E49" s="67"/>
      <c r="F49" s="67"/>
      <c r="G49" s="67">
        <f>3.6+113.8</f>
        <v>117.39999999999999</v>
      </c>
      <c r="H49" s="67"/>
      <c r="I49" s="67">
        <v>46.6</v>
      </c>
      <c r="J49" s="72"/>
      <c r="K49" s="67">
        <v>5.5</v>
      </c>
      <c r="L49" s="72">
        <v>312.1</v>
      </c>
      <c r="M49" s="67">
        <v>9.5</v>
      </c>
      <c r="N49" s="67"/>
      <c r="O49" s="71"/>
      <c r="P49" s="67">
        <f>53.6+2.4</f>
        <v>56</v>
      </c>
      <c r="Q49" s="67"/>
      <c r="R49" s="67"/>
      <c r="S49" s="72"/>
      <c r="T49" s="72"/>
      <c r="U49" s="67">
        <v>9.1</v>
      </c>
      <c r="V49" s="67">
        <v>1</v>
      </c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557.2</v>
      </c>
      <c r="AG49" s="72">
        <f>B49+C49-AF49</f>
        <v>796.8720000000001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198.62722999999664</v>
      </c>
      <c r="C51" s="72">
        <f aca="true" t="shared" si="10" ref="C51:AD51">C47-C48-C49</f>
        <v>489.9199999999996</v>
      </c>
      <c r="D51" s="67">
        <f t="shared" si="10"/>
        <v>0</v>
      </c>
      <c r="E51" s="67">
        <f t="shared" si="10"/>
        <v>45.1</v>
      </c>
      <c r="F51" s="67">
        <f t="shared" si="10"/>
        <v>20.5</v>
      </c>
      <c r="G51" s="67">
        <f t="shared" si="10"/>
        <v>9.700000000000003</v>
      </c>
      <c r="H51" s="67">
        <f t="shared" si="10"/>
        <v>4.6</v>
      </c>
      <c r="I51" s="67">
        <f t="shared" si="10"/>
        <v>17.699999999999996</v>
      </c>
      <c r="J51" s="72">
        <f t="shared" si="10"/>
        <v>0</v>
      </c>
      <c r="K51" s="67">
        <f t="shared" si="10"/>
        <v>0</v>
      </c>
      <c r="L51" s="72">
        <f t="shared" si="10"/>
        <v>15.099999999999966</v>
      </c>
      <c r="M51" s="67">
        <f t="shared" si="10"/>
        <v>3.1999999999999993</v>
      </c>
      <c r="N51" s="67">
        <f t="shared" si="10"/>
        <v>0</v>
      </c>
      <c r="O51" s="67">
        <f t="shared" si="10"/>
        <v>0</v>
      </c>
      <c r="P51" s="67">
        <f t="shared" si="10"/>
        <v>13.900000000000006</v>
      </c>
      <c r="Q51" s="67">
        <f t="shared" si="10"/>
        <v>0</v>
      </c>
      <c r="R51" s="67">
        <f t="shared" si="10"/>
        <v>12</v>
      </c>
      <c r="S51" s="67">
        <f t="shared" si="10"/>
        <v>0</v>
      </c>
      <c r="T51" s="67">
        <f t="shared" si="10"/>
        <v>0</v>
      </c>
      <c r="U51" s="67">
        <f t="shared" si="10"/>
        <v>48.4</v>
      </c>
      <c r="V51" s="67">
        <f t="shared" si="10"/>
        <v>9.1</v>
      </c>
      <c r="W51" s="67">
        <f t="shared" si="10"/>
        <v>18.9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218.19999999999996</v>
      </c>
      <c r="AG51" s="72">
        <f>AG47-AG49-AG48</f>
        <v>470.3472299999963</v>
      </c>
    </row>
    <row r="52" spans="1:33" ht="15" customHeight="1">
      <c r="A52" s="4" t="s">
        <v>0</v>
      </c>
      <c r="B52" s="72">
        <f>5294.90226-277.9-722.1-28.4</f>
        <v>4266.50226</v>
      </c>
      <c r="C52" s="72">
        <v>3361.5599999999995</v>
      </c>
      <c r="D52" s="67"/>
      <c r="E52" s="67">
        <v>486</v>
      </c>
      <c r="F52" s="67">
        <v>611.6</v>
      </c>
      <c r="G52" s="67"/>
      <c r="H52" s="67">
        <v>390.6</v>
      </c>
      <c r="I52" s="67"/>
      <c r="J52" s="72">
        <v>222.5</v>
      </c>
      <c r="K52" s="67"/>
      <c r="L52" s="72"/>
      <c r="M52" s="67">
        <v>462.3</v>
      </c>
      <c r="N52" s="67">
        <v>128.1</v>
      </c>
      <c r="O52" s="71">
        <v>21.2</v>
      </c>
      <c r="P52" s="67"/>
      <c r="Q52" s="67">
        <v>417.6</v>
      </c>
      <c r="R52" s="67"/>
      <c r="S52" s="72">
        <v>33.2</v>
      </c>
      <c r="T52" s="72"/>
      <c r="U52" s="72">
        <v>178.4</v>
      </c>
      <c r="V52" s="72">
        <v>166.2</v>
      </c>
      <c r="W52" s="72">
        <v>447</v>
      </c>
      <c r="X52" s="67">
        <v>459.1</v>
      </c>
      <c r="Y52" s="72"/>
      <c r="Z52" s="72"/>
      <c r="AA52" s="72"/>
      <c r="AB52" s="67"/>
      <c r="AC52" s="67"/>
      <c r="AD52" s="67"/>
      <c r="AE52" s="67"/>
      <c r="AF52" s="71">
        <f t="shared" si="1"/>
        <v>4023.7999999999993</v>
      </c>
      <c r="AG52" s="72">
        <f aca="true" t="shared" si="11" ref="AG52:AG59">B52+C52-AF52</f>
        <v>3604.2622600000004</v>
      </c>
    </row>
    <row r="53" spans="1:33" ht="15" customHeight="1">
      <c r="A53" s="3" t="s">
        <v>2</v>
      </c>
      <c r="B53" s="72">
        <v>626.401</v>
      </c>
      <c r="C53" s="72">
        <v>823.3</v>
      </c>
      <c r="D53" s="67"/>
      <c r="E53" s="67">
        <v>32.4</v>
      </c>
      <c r="F53" s="67">
        <v>530.2</v>
      </c>
      <c r="G53" s="67"/>
      <c r="H53" s="67"/>
      <c r="I53" s="67"/>
      <c r="J53" s="72">
        <v>66</v>
      </c>
      <c r="K53" s="67"/>
      <c r="L53" s="72"/>
      <c r="M53" s="67"/>
      <c r="N53" s="67"/>
      <c r="O53" s="71"/>
      <c r="P53" s="67"/>
      <c r="Q53" s="67"/>
      <c r="R53" s="67"/>
      <c r="S53" s="72"/>
      <c r="T53" s="72"/>
      <c r="U53" s="72"/>
      <c r="V53" s="72">
        <v>90.3</v>
      </c>
      <c r="W53" s="72"/>
      <c r="X53" s="67">
        <v>454.6</v>
      </c>
      <c r="Y53" s="72"/>
      <c r="Z53" s="72"/>
      <c r="AA53" s="72"/>
      <c r="AB53" s="67"/>
      <c r="AC53" s="67"/>
      <c r="AD53" s="67"/>
      <c r="AE53" s="67"/>
      <c r="AF53" s="71">
        <f t="shared" si="1"/>
        <v>1173.5</v>
      </c>
      <c r="AG53" s="72">
        <f t="shared" si="11"/>
        <v>276.201</v>
      </c>
    </row>
    <row r="54" spans="1:34" ht="15" customHeight="1">
      <c r="A54" s="4" t="s">
        <v>9</v>
      </c>
      <c r="B54" s="111">
        <v>1729.4</v>
      </c>
      <c r="C54" s="72">
        <v>1301.7</v>
      </c>
      <c r="D54" s="67"/>
      <c r="E54" s="67">
        <v>153.2</v>
      </c>
      <c r="F54" s="67">
        <v>95.1</v>
      </c>
      <c r="G54" s="67"/>
      <c r="H54" s="67">
        <v>201.6</v>
      </c>
      <c r="I54" s="67">
        <v>8.9</v>
      </c>
      <c r="J54" s="72">
        <v>10.4</v>
      </c>
      <c r="K54" s="67">
        <v>89.8</v>
      </c>
      <c r="L54" s="72">
        <v>488.7</v>
      </c>
      <c r="M54" s="67">
        <v>19</v>
      </c>
      <c r="N54" s="67">
        <v>6.2</v>
      </c>
      <c r="O54" s="71">
        <v>185.8</v>
      </c>
      <c r="P54" s="67">
        <v>0.6</v>
      </c>
      <c r="Q54" s="71">
        <v>16.9</v>
      </c>
      <c r="R54" s="67"/>
      <c r="S54" s="72">
        <v>1</v>
      </c>
      <c r="T54" s="72">
        <v>24.9</v>
      </c>
      <c r="U54" s="72"/>
      <c r="V54" s="72"/>
      <c r="W54" s="72">
        <v>624.5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1926.6</v>
      </c>
      <c r="AG54" s="72">
        <f t="shared" si="11"/>
        <v>1104.5000000000005</v>
      </c>
      <c r="AH54" s="6"/>
    </row>
    <row r="55" spans="1:34" ht="15.75">
      <c r="A55" s="3" t="s">
        <v>5</v>
      </c>
      <c r="B55" s="72">
        <v>1182.807</v>
      </c>
      <c r="C55" s="72">
        <v>266.5</v>
      </c>
      <c r="D55" s="67"/>
      <c r="E55" s="67"/>
      <c r="F55" s="67"/>
      <c r="G55" s="67"/>
      <c r="H55" s="67"/>
      <c r="I55" s="67"/>
      <c r="J55" s="72"/>
      <c r="K55" s="67">
        <v>89.8</v>
      </c>
      <c r="L55" s="72">
        <v>485</v>
      </c>
      <c r="M55" s="67">
        <v>19</v>
      </c>
      <c r="N55" s="67"/>
      <c r="O55" s="71">
        <v>3.6</v>
      </c>
      <c r="P55" s="67"/>
      <c r="Q55" s="71"/>
      <c r="R55" s="67"/>
      <c r="S55" s="72"/>
      <c r="T55" s="72"/>
      <c r="U55" s="72"/>
      <c r="V55" s="72"/>
      <c r="W55" s="72">
        <v>623.1</v>
      </c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1220.5</v>
      </c>
      <c r="AG55" s="72">
        <f t="shared" si="11"/>
        <v>228.80700000000002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70">
        <v>20.536</v>
      </c>
      <c r="C57" s="72">
        <v>36.500000000000114</v>
      </c>
      <c r="D57" s="72"/>
      <c r="E57" s="72"/>
      <c r="F57" s="72">
        <v>7.6</v>
      </c>
      <c r="G57" s="72"/>
      <c r="H57" s="72"/>
      <c r="I57" s="72"/>
      <c r="J57" s="72"/>
      <c r="K57" s="72"/>
      <c r="L57" s="72">
        <v>0.4</v>
      </c>
      <c r="M57" s="72"/>
      <c r="N57" s="72">
        <v>4.3</v>
      </c>
      <c r="O57" s="72"/>
      <c r="P57" s="72"/>
      <c r="Q57" s="72"/>
      <c r="R57" s="72"/>
      <c r="S57" s="72"/>
      <c r="T57" s="72">
        <v>0.1</v>
      </c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12.4</v>
      </c>
      <c r="AG57" s="72">
        <f t="shared" si="11"/>
        <v>44.63600000000012</v>
      </c>
    </row>
    <row r="58" spans="1:33" ht="15.7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526.057</v>
      </c>
      <c r="C60" s="72">
        <f t="shared" si="12"/>
        <v>998.6999999999999</v>
      </c>
      <c r="D60" s="67">
        <f t="shared" si="12"/>
        <v>0</v>
      </c>
      <c r="E60" s="67">
        <f>E54-E55-E57-E59-E56-E58</f>
        <v>153.2</v>
      </c>
      <c r="F60" s="67">
        <f t="shared" si="12"/>
        <v>87.5</v>
      </c>
      <c r="G60" s="67">
        <f t="shared" si="12"/>
        <v>0</v>
      </c>
      <c r="H60" s="67">
        <f t="shared" si="12"/>
        <v>201.6</v>
      </c>
      <c r="I60" s="67">
        <f t="shared" si="12"/>
        <v>8.9</v>
      </c>
      <c r="J60" s="72">
        <f t="shared" si="12"/>
        <v>10.4</v>
      </c>
      <c r="K60" s="67">
        <f t="shared" si="12"/>
        <v>0</v>
      </c>
      <c r="L60" s="72">
        <f t="shared" si="12"/>
        <v>3.2999999999999887</v>
      </c>
      <c r="M60" s="67">
        <f t="shared" si="12"/>
        <v>0</v>
      </c>
      <c r="N60" s="67">
        <f t="shared" si="12"/>
        <v>1.9000000000000004</v>
      </c>
      <c r="O60" s="67">
        <f t="shared" si="12"/>
        <v>182.20000000000002</v>
      </c>
      <c r="P60" s="67">
        <f t="shared" si="12"/>
        <v>0.6</v>
      </c>
      <c r="Q60" s="67">
        <f t="shared" si="12"/>
        <v>16.9</v>
      </c>
      <c r="R60" s="67">
        <f t="shared" si="12"/>
        <v>0</v>
      </c>
      <c r="S60" s="67">
        <f t="shared" si="12"/>
        <v>1</v>
      </c>
      <c r="T60" s="67">
        <f t="shared" si="12"/>
        <v>24.799999999999997</v>
      </c>
      <c r="U60" s="67">
        <f t="shared" si="12"/>
        <v>0</v>
      </c>
      <c r="V60" s="67">
        <f t="shared" si="12"/>
        <v>0</v>
      </c>
      <c r="W60" s="67">
        <f t="shared" si="12"/>
        <v>1.3999999999999773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693.6999999999999</v>
      </c>
      <c r="AG60" s="72">
        <f>AG54-AG55-AG57-AG59-AG56-AG58</f>
        <v>831.0570000000004</v>
      </c>
    </row>
    <row r="61" spans="1:33" ht="15" customHeight="1">
      <c r="A61" s="4" t="s">
        <v>10</v>
      </c>
      <c r="B61" s="72">
        <v>118.7</v>
      </c>
      <c r="C61" s="72">
        <v>623.2</v>
      </c>
      <c r="D61" s="67"/>
      <c r="E61" s="67">
        <v>10</v>
      </c>
      <c r="F61" s="67"/>
      <c r="G61" s="67"/>
      <c r="H61" s="67"/>
      <c r="I61" s="67"/>
      <c r="J61" s="72"/>
      <c r="K61" s="67"/>
      <c r="L61" s="72"/>
      <c r="M61" s="67"/>
      <c r="N61" s="67"/>
      <c r="O61" s="71"/>
      <c r="P61" s="67"/>
      <c r="Q61" s="71"/>
      <c r="R61" s="67"/>
      <c r="S61" s="72">
        <v>0.2</v>
      </c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10.2</v>
      </c>
      <c r="AG61" s="72">
        <f aca="true" t="shared" si="14" ref="AG61:AG67">B61+C61-AF61</f>
        <v>731.7</v>
      </c>
    </row>
    <row r="62" spans="1:33" s="18" customFormat="1" ht="15" customHeight="1">
      <c r="A62" s="108" t="s">
        <v>11</v>
      </c>
      <c r="B62" s="72">
        <v>3961.7</v>
      </c>
      <c r="C62" s="72">
        <v>2193.3</v>
      </c>
      <c r="D62" s="72"/>
      <c r="E62" s="72"/>
      <c r="F62" s="72"/>
      <c r="G62" s="72">
        <v>53.1</v>
      </c>
      <c r="H62" s="72">
        <v>4.7</v>
      </c>
      <c r="I62" s="72">
        <v>6.6</v>
      </c>
      <c r="J62" s="72">
        <v>3</v>
      </c>
      <c r="K62" s="72"/>
      <c r="L62" s="72">
        <v>10.5</v>
      </c>
      <c r="M62" s="72">
        <v>814.6</v>
      </c>
      <c r="N62" s="72">
        <v>17.2</v>
      </c>
      <c r="O62" s="72">
        <v>439</v>
      </c>
      <c r="P62" s="72">
        <v>12.3</v>
      </c>
      <c r="Q62" s="72">
        <v>117.7</v>
      </c>
      <c r="R62" s="72"/>
      <c r="S62" s="72"/>
      <c r="T62" s="72">
        <v>250.8</v>
      </c>
      <c r="U62" s="72">
        <v>97.8</v>
      </c>
      <c r="V62" s="72">
        <v>751.4</v>
      </c>
      <c r="W62" s="72">
        <v>316.3</v>
      </c>
      <c r="X62" s="72">
        <v>7.6</v>
      </c>
      <c r="Y62" s="72"/>
      <c r="Z62" s="72"/>
      <c r="AA62" s="72"/>
      <c r="AB62" s="72"/>
      <c r="AC62" s="72"/>
      <c r="AD62" s="72"/>
      <c r="AE62" s="72"/>
      <c r="AF62" s="72">
        <f t="shared" si="13"/>
        <v>2902.6</v>
      </c>
      <c r="AG62" s="72">
        <f t="shared" si="14"/>
        <v>3252.4</v>
      </c>
    </row>
    <row r="63" spans="1:34" ht="15.75">
      <c r="A63" s="3" t="s">
        <v>5</v>
      </c>
      <c r="B63" s="72">
        <v>1639.804</v>
      </c>
      <c r="C63" s="72">
        <v>1261.4</v>
      </c>
      <c r="D63" s="67"/>
      <c r="E63" s="67"/>
      <c r="F63" s="67"/>
      <c r="G63" s="67"/>
      <c r="H63" s="67"/>
      <c r="I63" s="67"/>
      <c r="J63" s="72"/>
      <c r="K63" s="67"/>
      <c r="L63" s="72"/>
      <c r="M63" s="67">
        <v>658.1</v>
      </c>
      <c r="N63" s="67"/>
      <c r="O63" s="71">
        <v>439</v>
      </c>
      <c r="P63" s="67"/>
      <c r="Q63" s="71"/>
      <c r="R63" s="67"/>
      <c r="S63" s="72"/>
      <c r="T63" s="72"/>
      <c r="U63" s="72"/>
      <c r="V63" s="72">
        <v>623.6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1720.6999999999998</v>
      </c>
      <c r="AG63" s="72">
        <f t="shared" si="14"/>
        <v>1180.5040000000004</v>
      </c>
      <c r="AH63" s="121"/>
    </row>
    <row r="64" spans="1:34" ht="15.7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47.2</v>
      </c>
      <c r="C65" s="72">
        <v>56.400000000000006</v>
      </c>
      <c r="D65" s="67"/>
      <c r="E65" s="67"/>
      <c r="F65" s="67"/>
      <c r="G65" s="67">
        <v>23.5</v>
      </c>
      <c r="H65" s="67">
        <v>0.7</v>
      </c>
      <c r="I65" s="67"/>
      <c r="J65" s="72"/>
      <c r="K65" s="67"/>
      <c r="L65" s="72">
        <v>4.2</v>
      </c>
      <c r="M65" s="67"/>
      <c r="N65" s="67">
        <v>10.2</v>
      </c>
      <c r="O65" s="71"/>
      <c r="P65" s="67"/>
      <c r="Q65" s="71">
        <v>2.2</v>
      </c>
      <c r="R65" s="67"/>
      <c r="S65" s="72"/>
      <c r="T65" s="72">
        <v>1.8</v>
      </c>
      <c r="U65" s="72"/>
      <c r="V65" s="72">
        <v>2</v>
      </c>
      <c r="W65" s="72">
        <v>15.6</v>
      </c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60.199999999999996</v>
      </c>
      <c r="AG65" s="72">
        <f t="shared" si="14"/>
        <v>43.40000000000001</v>
      </c>
      <c r="AH65" s="6"/>
    </row>
    <row r="66" spans="1:33" ht="15.75">
      <c r="A66" s="3" t="s">
        <v>2</v>
      </c>
      <c r="B66" s="72">
        <v>31.945</v>
      </c>
      <c r="C66" s="72">
        <v>110.50000000000001</v>
      </c>
      <c r="D66" s="67"/>
      <c r="E66" s="67"/>
      <c r="F66" s="67"/>
      <c r="G66" s="67">
        <v>5.8</v>
      </c>
      <c r="H66" s="67"/>
      <c r="I66" s="67"/>
      <c r="J66" s="72"/>
      <c r="K66" s="67"/>
      <c r="L66" s="72">
        <v>0.4</v>
      </c>
      <c r="M66" s="67"/>
      <c r="N66" s="67">
        <v>0.3</v>
      </c>
      <c r="O66" s="71"/>
      <c r="P66" s="67">
        <v>0.3</v>
      </c>
      <c r="Q66" s="67"/>
      <c r="R66" s="67"/>
      <c r="S66" s="72"/>
      <c r="T66" s="72">
        <v>9.3</v>
      </c>
      <c r="U66" s="72"/>
      <c r="V66" s="72">
        <v>0.2</v>
      </c>
      <c r="W66" s="72">
        <v>0.6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16.900000000000002</v>
      </c>
      <c r="AG66" s="72">
        <f t="shared" si="14"/>
        <v>125.54500000000002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/>
      <c r="P67" s="67"/>
      <c r="Q67" s="67">
        <v>110</v>
      </c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2132.7509999999997</v>
      </c>
      <c r="C68" s="72">
        <f t="shared" si="15"/>
        <v>765.0000000000001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23.800000000000004</v>
      </c>
      <c r="H68" s="67">
        <f t="shared" si="15"/>
        <v>4</v>
      </c>
      <c r="I68" s="67">
        <f t="shared" si="15"/>
        <v>6.6</v>
      </c>
      <c r="J68" s="72">
        <f t="shared" si="15"/>
        <v>3</v>
      </c>
      <c r="K68" s="67">
        <f t="shared" si="15"/>
        <v>0</v>
      </c>
      <c r="L68" s="72">
        <f t="shared" si="15"/>
        <v>5.8999999999999995</v>
      </c>
      <c r="M68" s="67">
        <f t="shared" si="15"/>
        <v>156.5</v>
      </c>
      <c r="N68" s="67">
        <f t="shared" si="15"/>
        <v>6.699999999999999</v>
      </c>
      <c r="O68" s="67">
        <f t="shared" si="15"/>
        <v>0</v>
      </c>
      <c r="P68" s="67">
        <f t="shared" si="15"/>
        <v>12</v>
      </c>
      <c r="Q68" s="67">
        <f t="shared" si="15"/>
        <v>5.500000000000003</v>
      </c>
      <c r="R68" s="67">
        <f t="shared" si="15"/>
        <v>0</v>
      </c>
      <c r="S68" s="67">
        <f t="shared" si="15"/>
        <v>0</v>
      </c>
      <c r="T68" s="67">
        <f t="shared" si="15"/>
        <v>239.7</v>
      </c>
      <c r="U68" s="67">
        <f t="shared" si="15"/>
        <v>97.8</v>
      </c>
      <c r="V68" s="67">
        <f t="shared" si="15"/>
        <v>125.59999999999995</v>
      </c>
      <c r="W68" s="67">
        <f t="shared" si="15"/>
        <v>300.09999999999997</v>
      </c>
      <c r="X68" s="67">
        <f t="shared" si="15"/>
        <v>7.6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994.7999999999998</v>
      </c>
      <c r="AG68" s="72">
        <f>AG62-AG63-AG66-AG67-AG65-AG64</f>
        <v>1902.9509999999996</v>
      </c>
    </row>
    <row r="69" spans="1:33" ht="31.5">
      <c r="A69" s="4" t="s">
        <v>45</v>
      </c>
      <c r="B69" s="72">
        <v>4589.239</v>
      </c>
      <c r="C69" s="72">
        <v>59.100000000000364</v>
      </c>
      <c r="D69" s="67"/>
      <c r="E69" s="67">
        <v>457.2</v>
      </c>
      <c r="F69" s="67"/>
      <c r="G69" s="67">
        <v>1108.2</v>
      </c>
      <c r="H69" s="67"/>
      <c r="I69" s="67"/>
      <c r="J69" s="72"/>
      <c r="K69" s="67"/>
      <c r="L69" s="72"/>
      <c r="M69" s="67"/>
      <c r="N69" s="67"/>
      <c r="O69" s="67"/>
      <c r="P69" s="67">
        <v>2510.4</v>
      </c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4075.8</v>
      </c>
      <c r="AG69" s="130">
        <f aca="true" t="shared" si="16" ref="AG69:AG92">B69+C69-AF69</f>
        <v>572.5389999999998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f>900+28.4</f>
        <v>928.4</v>
      </c>
      <c r="C71" s="80">
        <v>377.65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>
        <v>750.8</v>
      </c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750.8</v>
      </c>
      <c r="AG71" s="130">
        <f t="shared" si="16"/>
        <v>555.25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1137.3+4.4</f>
        <v>1141.7</v>
      </c>
      <c r="C72" s="72">
        <v>2845.1000000000004</v>
      </c>
      <c r="D72" s="67"/>
      <c r="E72" s="67">
        <f>622.9-457.2</f>
        <v>165.7</v>
      </c>
      <c r="F72" s="67">
        <v>7.9</v>
      </c>
      <c r="G72" s="67">
        <v>0.2</v>
      </c>
      <c r="H72" s="67">
        <v>128.3</v>
      </c>
      <c r="I72" s="67">
        <v>7.7</v>
      </c>
      <c r="J72" s="72">
        <v>40.5</v>
      </c>
      <c r="K72" s="67">
        <v>26.6</v>
      </c>
      <c r="L72" s="72">
        <v>9.8</v>
      </c>
      <c r="M72" s="67"/>
      <c r="N72" s="67">
        <v>0.7</v>
      </c>
      <c r="O72" s="67">
        <v>12.1</v>
      </c>
      <c r="P72" s="67">
        <v>16.4</v>
      </c>
      <c r="Q72" s="71">
        <v>1.2</v>
      </c>
      <c r="R72" s="67">
        <v>16</v>
      </c>
      <c r="S72" s="72">
        <v>6.4</v>
      </c>
      <c r="T72" s="72">
        <v>2.3</v>
      </c>
      <c r="U72" s="72">
        <f>166.6+39.4</f>
        <v>206</v>
      </c>
      <c r="V72" s="72">
        <v>99.2</v>
      </c>
      <c r="W72" s="72">
        <v>12.8</v>
      </c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759.8</v>
      </c>
      <c r="AG72" s="130">
        <f t="shared" si="16"/>
        <v>3227</v>
      </c>
      <c r="AH72" s="86"/>
    </row>
    <row r="73" spans="1:33" ht="15" customHeight="1">
      <c r="A73" s="3" t="s">
        <v>5</v>
      </c>
      <c r="B73" s="72">
        <v>0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0</v>
      </c>
    </row>
    <row r="74" spans="1:33" ht="15" customHeight="1">
      <c r="A74" s="3" t="s">
        <v>2</v>
      </c>
      <c r="B74" s="72">
        <v>105.1</v>
      </c>
      <c r="C74" s="72">
        <v>405.4</v>
      </c>
      <c r="D74" s="67"/>
      <c r="E74" s="67">
        <v>47.6</v>
      </c>
      <c r="F74" s="67">
        <v>0.6</v>
      </c>
      <c r="G74" s="67"/>
      <c r="H74" s="67"/>
      <c r="I74" s="67"/>
      <c r="J74" s="72"/>
      <c r="K74" s="67">
        <v>26</v>
      </c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74.2</v>
      </c>
      <c r="AG74" s="130">
        <f t="shared" si="16"/>
        <v>436.3</v>
      </c>
    </row>
    <row r="75" spans="1:33" ht="15" customHeight="1">
      <c r="A75" s="3" t="s">
        <v>16</v>
      </c>
      <c r="B75" s="72">
        <v>69</v>
      </c>
      <c r="C75" s="72">
        <v>33.800000000000004</v>
      </c>
      <c r="D75" s="67"/>
      <c r="E75" s="67"/>
      <c r="F75" s="67"/>
      <c r="G75" s="67"/>
      <c r="H75" s="67"/>
      <c r="I75" s="67"/>
      <c r="J75" s="72"/>
      <c r="K75" s="67"/>
      <c r="L75" s="72"/>
      <c r="M75" s="67"/>
      <c r="N75" s="67"/>
      <c r="O75" s="67">
        <v>12.1</v>
      </c>
      <c r="P75" s="67"/>
      <c r="Q75" s="71"/>
      <c r="R75" s="67"/>
      <c r="S75" s="72"/>
      <c r="T75" s="72"/>
      <c r="U75" s="72"/>
      <c r="V75" s="72">
        <v>7.4</v>
      </c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19.5</v>
      </c>
      <c r="AG75" s="130">
        <f t="shared" si="16"/>
        <v>83.30000000000001</v>
      </c>
    </row>
    <row r="76" spans="1:35" s="11" customFormat="1" ht="15.75">
      <c r="A76" s="12" t="s">
        <v>48</v>
      </c>
      <c r="B76" s="72">
        <f>268.6+170.4-107-150+300</f>
        <v>482</v>
      </c>
      <c r="C76" s="72">
        <f>231.06-150</f>
        <v>81.06</v>
      </c>
      <c r="D76" s="67"/>
      <c r="E76" s="79"/>
      <c r="F76" s="79"/>
      <c r="G76" s="79"/>
      <c r="H76" s="79"/>
      <c r="I76" s="79"/>
      <c r="J76" s="80"/>
      <c r="K76" s="79"/>
      <c r="L76" s="80"/>
      <c r="M76" s="79">
        <v>50.5</v>
      </c>
      <c r="N76" s="79">
        <v>35.7</v>
      </c>
      <c r="O76" s="79"/>
      <c r="P76" s="79"/>
      <c r="Q76" s="81"/>
      <c r="R76" s="79"/>
      <c r="S76" s="80"/>
      <c r="T76" s="80"/>
      <c r="U76" s="79">
        <v>3.4</v>
      </c>
      <c r="V76" s="79">
        <v>90.4</v>
      </c>
      <c r="W76" s="79"/>
      <c r="X76" s="80">
        <v>360.2</v>
      </c>
      <c r="Y76" s="80"/>
      <c r="Z76" s="80"/>
      <c r="AA76" s="80"/>
      <c r="AB76" s="79"/>
      <c r="AC76" s="79"/>
      <c r="AD76" s="79"/>
      <c r="AE76" s="79"/>
      <c r="AF76" s="71">
        <f t="shared" si="13"/>
        <v>540.2</v>
      </c>
      <c r="AG76" s="130">
        <f t="shared" si="16"/>
        <v>22.8599999999999</v>
      </c>
      <c r="AI76" s="128"/>
    </row>
    <row r="77" spans="1:33" s="11" customFormat="1" ht="15.75">
      <c r="A77" s="3" t="s">
        <v>5</v>
      </c>
      <c r="B77" s="72">
        <v>140.8</v>
      </c>
      <c r="C77" s="72">
        <v>5.099999999999994</v>
      </c>
      <c r="D77" s="67"/>
      <c r="E77" s="79"/>
      <c r="F77" s="79"/>
      <c r="G77" s="79"/>
      <c r="H77" s="79"/>
      <c r="I77" s="79"/>
      <c r="J77" s="80"/>
      <c r="K77" s="79"/>
      <c r="L77" s="80"/>
      <c r="M77" s="79">
        <v>50.4</v>
      </c>
      <c r="N77" s="79"/>
      <c r="O77" s="79"/>
      <c r="P77" s="79"/>
      <c r="Q77" s="81"/>
      <c r="R77" s="79"/>
      <c r="S77" s="80"/>
      <c r="T77" s="80"/>
      <c r="U77" s="79"/>
      <c r="V77" s="79">
        <v>90.4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140.8</v>
      </c>
      <c r="AG77" s="130">
        <f t="shared" si="16"/>
        <v>5.099999999999994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11.4</v>
      </c>
      <c r="D80" s="67"/>
      <c r="E80" s="79"/>
      <c r="F80" s="79"/>
      <c r="G80" s="79"/>
      <c r="H80" s="79"/>
      <c r="I80" s="79"/>
      <c r="J80" s="80"/>
      <c r="K80" s="79"/>
      <c r="L80" s="80"/>
      <c r="M80" s="79">
        <v>0.1</v>
      </c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0.1</v>
      </c>
      <c r="AG80" s="130">
        <f t="shared" si="16"/>
        <v>11.8</v>
      </c>
    </row>
    <row r="81" spans="1:33" s="11" customFormat="1" ht="15.7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4857+2350-544-257+577.9+722.1</f>
        <v>7706</v>
      </c>
      <c r="C89" s="72">
        <v>1922.699999999997</v>
      </c>
      <c r="D89" s="67"/>
      <c r="E89" s="67">
        <v>90.1</v>
      </c>
      <c r="F89" s="67">
        <v>306.1</v>
      </c>
      <c r="G89" s="67"/>
      <c r="H89" s="67">
        <v>2127.9</v>
      </c>
      <c r="I89" s="67"/>
      <c r="J89" s="72"/>
      <c r="K89" s="67"/>
      <c r="L89" s="72">
        <v>1140.2</v>
      </c>
      <c r="M89" s="67">
        <v>2083.8</v>
      </c>
      <c r="N89" s="67">
        <v>254.9</v>
      </c>
      <c r="O89" s="67"/>
      <c r="P89" s="67">
        <v>496.3</v>
      </c>
      <c r="Q89" s="67">
        <v>147.5</v>
      </c>
      <c r="R89" s="67"/>
      <c r="S89" s="72"/>
      <c r="T89" s="72"/>
      <c r="U89" s="67">
        <v>900</v>
      </c>
      <c r="V89" s="67">
        <v>293.9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7840.7</v>
      </c>
      <c r="AG89" s="72">
        <f t="shared" si="16"/>
        <v>1787.9999999999973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72">
        <v>1173.1</v>
      </c>
      <c r="K90" s="67"/>
      <c r="L90" s="72"/>
      <c r="M90" s="67"/>
      <c r="N90" s="67"/>
      <c r="O90" s="67"/>
      <c r="P90" s="67"/>
      <c r="Q90" s="67"/>
      <c r="R90" s="67">
        <v>1173.1</v>
      </c>
      <c r="S90" s="72"/>
      <c r="T90" s="72"/>
      <c r="U90" s="67"/>
      <c r="V90" s="67"/>
      <c r="W90" s="67"/>
      <c r="X90" s="72"/>
      <c r="Y90" s="72">
        <v>1173.1</v>
      </c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49107.6-2350+651+257-300</f>
        <v>47365.6</v>
      </c>
      <c r="C92" s="72">
        <v>43544.1</v>
      </c>
      <c r="D92" s="67">
        <v>17.3</v>
      </c>
      <c r="E92" s="67"/>
      <c r="F92" s="67">
        <v>2541.9</v>
      </c>
      <c r="G92" s="67">
        <v>4569.6</v>
      </c>
      <c r="H92" s="67"/>
      <c r="I92" s="67">
        <v>200.8</v>
      </c>
      <c r="J92" s="72">
        <v>3996.1</v>
      </c>
      <c r="K92" s="67">
        <v>59.4</v>
      </c>
      <c r="L92" s="72">
        <v>398.6</v>
      </c>
      <c r="M92" s="67">
        <v>4382.3</v>
      </c>
      <c r="N92" s="67">
        <v>345.9</v>
      </c>
      <c r="O92" s="67">
        <v>705.2</v>
      </c>
      <c r="P92" s="67">
        <v>2627.2</v>
      </c>
      <c r="Q92" s="67">
        <v>629.5</v>
      </c>
      <c r="R92" s="67">
        <v>925.5</v>
      </c>
      <c r="S92" s="72">
        <v>30.6</v>
      </c>
      <c r="T92" s="72">
        <v>650</v>
      </c>
      <c r="U92" s="67">
        <v>253.5</v>
      </c>
      <c r="V92" s="67">
        <v>4065.3</v>
      </c>
      <c r="W92" s="67">
        <v>30.9</v>
      </c>
      <c r="X92" s="72">
        <v>21.1</v>
      </c>
      <c r="Y92" s="72"/>
      <c r="Z92" s="72"/>
      <c r="AA92" s="72"/>
      <c r="AB92" s="67"/>
      <c r="AC92" s="67"/>
      <c r="AD92" s="67"/>
      <c r="AE92" s="67"/>
      <c r="AF92" s="71">
        <f t="shared" si="13"/>
        <v>26450.7</v>
      </c>
      <c r="AG92" s="72">
        <f t="shared" si="16"/>
        <v>64459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172033.74548999997</v>
      </c>
      <c r="C94" s="132">
        <f t="shared" si="17"/>
        <v>104190.64999999998</v>
      </c>
      <c r="D94" s="83">
        <f t="shared" si="17"/>
        <v>652.1999999999999</v>
      </c>
      <c r="E94" s="83">
        <f t="shared" si="17"/>
        <v>3657.8999999999996</v>
      </c>
      <c r="F94" s="83">
        <f t="shared" si="17"/>
        <v>3803.1000000000004</v>
      </c>
      <c r="G94" s="83">
        <f t="shared" si="17"/>
        <v>6459</v>
      </c>
      <c r="H94" s="83">
        <f t="shared" si="17"/>
        <v>3263.7000000000003</v>
      </c>
      <c r="I94" s="83">
        <f t="shared" si="17"/>
        <v>2431.0000000000005</v>
      </c>
      <c r="J94" s="132">
        <f t="shared" si="17"/>
        <v>6228</v>
      </c>
      <c r="K94" s="83">
        <f t="shared" si="17"/>
        <v>13418.9</v>
      </c>
      <c r="L94" s="132">
        <f t="shared" si="17"/>
        <v>15494.6</v>
      </c>
      <c r="M94" s="83">
        <f t="shared" si="17"/>
        <v>9703.400000000001</v>
      </c>
      <c r="N94" s="83">
        <f t="shared" si="17"/>
        <v>4805.5999999999985</v>
      </c>
      <c r="O94" s="83">
        <f t="shared" si="17"/>
        <v>1441.7000000000003</v>
      </c>
      <c r="P94" s="83">
        <f t="shared" si="17"/>
        <v>6120</v>
      </c>
      <c r="Q94" s="83">
        <f t="shared" si="17"/>
        <v>2462.6000000000004</v>
      </c>
      <c r="R94" s="83">
        <f t="shared" si="17"/>
        <v>3874.6</v>
      </c>
      <c r="S94" s="83">
        <f t="shared" si="17"/>
        <v>298.09999999999997</v>
      </c>
      <c r="T94" s="83">
        <f t="shared" si="17"/>
        <v>1177.1999999999998</v>
      </c>
      <c r="U94" s="83">
        <f t="shared" si="17"/>
        <v>3175.6000000000004</v>
      </c>
      <c r="V94" s="83">
        <f t="shared" si="17"/>
        <v>20566.3</v>
      </c>
      <c r="W94" s="83">
        <f t="shared" si="17"/>
        <v>19935.2</v>
      </c>
      <c r="X94" s="83">
        <f t="shared" si="17"/>
        <v>2215.1</v>
      </c>
      <c r="Y94" s="83">
        <f t="shared" si="17"/>
        <v>1173.1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132356.90000000002</v>
      </c>
      <c r="AG94" s="84">
        <f>AG10+AG15+AG24+AG33+AG47+AG52+AG54+AG61+AG62+AG69+AG71+AG72+AG76+AG81+AG82+AG83+AG88+AG89+AG90+AG91+AG70+AG40+AG92</f>
        <v>143867.49549</v>
      </c>
    </row>
    <row r="95" spans="1:33" ht="15.75">
      <c r="A95" s="3" t="s">
        <v>5</v>
      </c>
      <c r="B95" s="22">
        <f>B11+B17+B26+B34+B55+B63+B73+B41+B77+B48</f>
        <v>54876.11200000001</v>
      </c>
      <c r="C95" s="109">
        <f aca="true" t="shared" si="18" ref="C95:AD95">C11+C17+C26+C34+C55+C63+C73+C41+C77+C48</f>
        <v>17687.519999999997</v>
      </c>
      <c r="D95" s="67">
        <f t="shared" si="18"/>
        <v>634.9</v>
      </c>
      <c r="E95" s="67">
        <f t="shared" si="18"/>
        <v>2208.3</v>
      </c>
      <c r="F95" s="67">
        <f t="shared" si="18"/>
        <v>118.6</v>
      </c>
      <c r="G95" s="67">
        <f t="shared" si="18"/>
        <v>0</v>
      </c>
      <c r="H95" s="67">
        <f t="shared" si="18"/>
        <v>104.1</v>
      </c>
      <c r="I95" s="67">
        <f t="shared" si="18"/>
        <v>0</v>
      </c>
      <c r="J95" s="72">
        <f t="shared" si="18"/>
        <v>709.5</v>
      </c>
      <c r="K95" s="67">
        <f t="shared" si="18"/>
        <v>13261.6</v>
      </c>
      <c r="L95" s="72">
        <f t="shared" si="18"/>
        <v>3473.2999999999997</v>
      </c>
      <c r="M95" s="67">
        <f t="shared" si="18"/>
        <v>727.5</v>
      </c>
      <c r="N95" s="67">
        <f t="shared" si="18"/>
        <v>0</v>
      </c>
      <c r="O95" s="67">
        <f t="shared" si="18"/>
        <v>469.7</v>
      </c>
      <c r="P95" s="67">
        <f t="shared" si="18"/>
        <v>148.3</v>
      </c>
      <c r="Q95" s="67">
        <f t="shared" si="18"/>
        <v>134.2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15050.6</v>
      </c>
      <c r="W95" s="67">
        <f t="shared" si="18"/>
        <v>5638.800000000001</v>
      </c>
      <c r="X95" s="67">
        <f t="shared" si="18"/>
        <v>1345.8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44025.200000000004</v>
      </c>
      <c r="AG95" s="71">
        <f>B95+C95-AF95</f>
        <v>28538.432000000008</v>
      </c>
    </row>
    <row r="96" spans="1:33" ht="15.75">
      <c r="A96" s="3" t="s">
        <v>2</v>
      </c>
      <c r="B96" s="22">
        <f aca="true" t="shared" si="19" ref="B96:AD96">B12+B20+B29+B36+B57+B66+B44+B80+B74+B53</f>
        <v>1718.562</v>
      </c>
      <c r="C96" s="109">
        <f t="shared" si="19"/>
        <v>3034.3</v>
      </c>
      <c r="D96" s="67">
        <f t="shared" si="19"/>
        <v>0</v>
      </c>
      <c r="E96" s="67">
        <f t="shared" si="19"/>
        <v>80</v>
      </c>
      <c r="F96" s="67">
        <f t="shared" si="19"/>
        <v>543.9000000000001</v>
      </c>
      <c r="G96" s="67">
        <f t="shared" si="19"/>
        <v>58</v>
      </c>
      <c r="H96" s="67">
        <f t="shared" si="19"/>
        <v>29.8</v>
      </c>
      <c r="I96" s="67">
        <f t="shared" si="19"/>
        <v>5</v>
      </c>
      <c r="J96" s="72">
        <f t="shared" si="19"/>
        <v>66</v>
      </c>
      <c r="K96" s="67">
        <f t="shared" si="19"/>
        <v>46.1</v>
      </c>
      <c r="L96" s="72">
        <f t="shared" si="19"/>
        <v>266.59999999999997</v>
      </c>
      <c r="M96" s="67">
        <f t="shared" si="19"/>
        <v>14.7</v>
      </c>
      <c r="N96" s="67">
        <f t="shared" si="19"/>
        <v>6.3999999999999995</v>
      </c>
      <c r="O96" s="67">
        <f t="shared" si="19"/>
        <v>14.9</v>
      </c>
      <c r="P96" s="67">
        <f t="shared" si="19"/>
        <v>0.3</v>
      </c>
      <c r="Q96" s="67">
        <f t="shared" si="19"/>
        <v>105.3</v>
      </c>
      <c r="R96" s="67">
        <f t="shared" si="19"/>
        <v>347.5</v>
      </c>
      <c r="S96" s="67">
        <f t="shared" si="19"/>
        <v>13.9</v>
      </c>
      <c r="T96" s="67">
        <f t="shared" si="19"/>
        <v>13.7</v>
      </c>
      <c r="U96" s="67">
        <f t="shared" si="19"/>
        <v>61.60000000000001</v>
      </c>
      <c r="V96" s="67">
        <f t="shared" si="19"/>
        <v>255.39999999999998</v>
      </c>
      <c r="W96" s="67">
        <f t="shared" si="19"/>
        <v>1.1</v>
      </c>
      <c r="X96" s="67">
        <f t="shared" si="19"/>
        <v>454.6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2384.8</v>
      </c>
      <c r="AG96" s="71">
        <f>B96+C96-AF96</f>
        <v>2368.062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10.299999999999999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10.299999999999999</v>
      </c>
    </row>
    <row r="98" spans="1:33" ht="15.75">
      <c r="A98" s="3" t="s">
        <v>1</v>
      </c>
      <c r="B98" s="22">
        <f aca="true" t="shared" si="21" ref="B98:AD98">B19+B28+B65+B35+B43+B56+B79</f>
        <v>1165.086</v>
      </c>
      <c r="C98" s="109">
        <f t="shared" si="21"/>
        <v>8967.7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90.1</v>
      </c>
      <c r="H98" s="67">
        <f t="shared" si="21"/>
        <v>0.7</v>
      </c>
      <c r="I98" s="67">
        <f t="shared" si="21"/>
        <v>0</v>
      </c>
      <c r="J98" s="72">
        <f t="shared" si="21"/>
        <v>0</v>
      </c>
      <c r="K98" s="67">
        <f t="shared" si="21"/>
        <v>0</v>
      </c>
      <c r="L98" s="72">
        <f t="shared" si="21"/>
        <v>4.2</v>
      </c>
      <c r="M98" s="67">
        <f t="shared" si="21"/>
        <v>594.1</v>
      </c>
      <c r="N98" s="67">
        <f t="shared" si="21"/>
        <v>2631.3999999999996</v>
      </c>
      <c r="O98" s="67">
        <f t="shared" si="21"/>
        <v>0</v>
      </c>
      <c r="P98" s="67">
        <f t="shared" si="21"/>
        <v>0</v>
      </c>
      <c r="Q98" s="67">
        <f t="shared" si="21"/>
        <v>77.10000000000001</v>
      </c>
      <c r="R98" s="67">
        <f t="shared" si="21"/>
        <v>0</v>
      </c>
      <c r="S98" s="67">
        <f t="shared" si="21"/>
        <v>0</v>
      </c>
      <c r="T98" s="67">
        <f t="shared" si="21"/>
        <v>95.5</v>
      </c>
      <c r="U98" s="67">
        <f t="shared" si="21"/>
        <v>0</v>
      </c>
      <c r="V98" s="67">
        <f t="shared" si="21"/>
        <v>14</v>
      </c>
      <c r="W98" s="67">
        <f t="shared" si="21"/>
        <v>15.6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3522.6999999999994</v>
      </c>
      <c r="AG98" s="71">
        <f>B98+C98-AF98</f>
        <v>6610.086000000001</v>
      </c>
    </row>
    <row r="99" spans="1:33" ht="15.75">
      <c r="A99" s="3" t="s">
        <v>16</v>
      </c>
      <c r="B99" s="22">
        <f aca="true" t="shared" si="22" ref="B99:X99">B21+B30+B49+B37+B58+B13+B75+B67</f>
        <v>3274.766</v>
      </c>
      <c r="C99" s="109">
        <f t="shared" si="22"/>
        <v>2462.57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248.59999999999997</v>
      </c>
      <c r="H99" s="67">
        <f t="shared" si="22"/>
        <v>0</v>
      </c>
      <c r="I99" s="67">
        <f t="shared" si="22"/>
        <v>46.6</v>
      </c>
      <c r="J99" s="72">
        <f t="shared" si="22"/>
        <v>0</v>
      </c>
      <c r="K99" s="67">
        <f t="shared" si="22"/>
        <v>5.5</v>
      </c>
      <c r="L99" s="72">
        <f t="shared" si="22"/>
        <v>312.1</v>
      </c>
      <c r="M99" s="67">
        <f t="shared" si="22"/>
        <v>324.9</v>
      </c>
      <c r="N99" s="67">
        <f t="shared" si="22"/>
        <v>0</v>
      </c>
      <c r="O99" s="67">
        <f t="shared" si="22"/>
        <v>12.1</v>
      </c>
      <c r="P99" s="67">
        <f t="shared" si="22"/>
        <v>192</v>
      </c>
      <c r="Q99" s="67">
        <f t="shared" si="22"/>
        <v>289.1</v>
      </c>
      <c r="R99" s="67">
        <f t="shared" si="22"/>
        <v>0</v>
      </c>
      <c r="S99" s="67">
        <f t="shared" si="22"/>
        <v>0</v>
      </c>
      <c r="T99" s="67">
        <f t="shared" si="22"/>
        <v>143.6</v>
      </c>
      <c r="U99" s="67">
        <f t="shared" si="22"/>
        <v>42.2</v>
      </c>
      <c r="V99" s="67">
        <f t="shared" si="22"/>
        <v>8.4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1625.1000000000001</v>
      </c>
      <c r="AG99" s="71">
        <f>B99+C99-AF99</f>
        <v>4112.236</v>
      </c>
    </row>
    <row r="100" spans="1:33" ht="12.75">
      <c r="A100" s="1" t="s">
        <v>35</v>
      </c>
      <c r="B100" s="2">
        <f aca="true" t="shared" si="24" ref="B100:AD100">B94-B95-B96-B97-B98-B99</f>
        <v>110999.21948999996</v>
      </c>
      <c r="C100" s="20">
        <f t="shared" si="24"/>
        <v>72028.25999999997</v>
      </c>
      <c r="D100" s="85">
        <f t="shared" si="24"/>
        <v>17.299999999999955</v>
      </c>
      <c r="E100" s="85">
        <f t="shared" si="24"/>
        <v>1369.5999999999995</v>
      </c>
      <c r="F100" s="85">
        <f t="shared" si="24"/>
        <v>3140.6000000000004</v>
      </c>
      <c r="G100" s="85">
        <f t="shared" si="24"/>
        <v>6062.299999999999</v>
      </c>
      <c r="H100" s="85">
        <f t="shared" si="24"/>
        <v>3129.1000000000004</v>
      </c>
      <c r="I100" s="85">
        <f t="shared" si="24"/>
        <v>2379.4000000000005</v>
      </c>
      <c r="J100" s="131">
        <f t="shared" si="24"/>
        <v>5452.5</v>
      </c>
      <c r="K100" s="85">
        <f t="shared" si="24"/>
        <v>105.69999999999928</v>
      </c>
      <c r="L100" s="131">
        <f t="shared" si="24"/>
        <v>11438.4</v>
      </c>
      <c r="M100" s="85">
        <f t="shared" si="24"/>
        <v>8042.200000000001</v>
      </c>
      <c r="N100" s="85">
        <f t="shared" si="24"/>
        <v>2167.7999999999993</v>
      </c>
      <c r="O100" s="85">
        <f t="shared" si="24"/>
        <v>945.0000000000002</v>
      </c>
      <c r="P100" s="85">
        <f t="shared" si="24"/>
        <v>5779.4</v>
      </c>
      <c r="Q100" s="85">
        <f t="shared" si="24"/>
        <v>1856.9000000000005</v>
      </c>
      <c r="R100" s="85">
        <f t="shared" si="24"/>
        <v>3527.1</v>
      </c>
      <c r="S100" s="85">
        <f t="shared" si="24"/>
        <v>284.2</v>
      </c>
      <c r="T100" s="85">
        <f t="shared" si="24"/>
        <v>924.3999999999997</v>
      </c>
      <c r="U100" s="85">
        <f t="shared" si="24"/>
        <v>3071.8000000000006</v>
      </c>
      <c r="V100" s="85">
        <f t="shared" si="24"/>
        <v>5237.9</v>
      </c>
      <c r="W100" s="85">
        <f t="shared" si="24"/>
        <v>14279.699999999999</v>
      </c>
      <c r="X100" s="85">
        <f t="shared" si="24"/>
        <v>414.69999999999993</v>
      </c>
      <c r="Y100" s="85">
        <f t="shared" si="24"/>
        <v>1173.1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80799.1</v>
      </c>
      <c r="AG100" s="85">
        <f>AG94-AG95-AG96-AG97-AG98-AG99</f>
        <v>102228.37948999999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46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71" sqref="A71:IV7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18" bestFit="1" customWidth="1"/>
    <col min="13" max="13" width="9.00390625" style="0" customWidth="1"/>
    <col min="14" max="14" width="8.25390625" style="0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5" width="8.75390625" style="18" customWidth="1"/>
    <col min="26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0" t="s">
        <v>12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</row>
    <row r="2" spans="1:33" ht="22.5" customHeight="1">
      <c r="A2" s="161" t="s">
        <v>68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69</v>
      </c>
      <c r="C4" s="90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19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27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23665.6</v>
      </c>
      <c r="C7" s="129">
        <v>17602.95000000001</v>
      </c>
      <c r="D7" s="38"/>
      <c r="E7" s="38">
        <v>11832.8</v>
      </c>
      <c r="F7" s="38"/>
      <c r="G7" s="38"/>
      <c r="H7" s="56"/>
      <c r="I7" s="38"/>
      <c r="J7" s="39"/>
      <c r="K7" s="38"/>
      <c r="L7" s="39">
        <v>11832.8</v>
      </c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C7+E7+L7-AF16-AF25</f>
        <v>13091.150000000009</v>
      </c>
      <c r="AF7" s="54"/>
      <c r="AG7" s="40"/>
    </row>
    <row r="8" spans="1:55" ht="18" customHeight="1">
      <c r="A8" s="47" t="s">
        <v>30</v>
      </c>
      <c r="B8" s="33">
        <f>SUM(E8:AB8)</f>
        <v>140428.06999999998</v>
      </c>
      <c r="C8" s="103">
        <v>131589.87000000008</v>
      </c>
      <c r="D8" s="59">
        <v>8922.7</v>
      </c>
      <c r="E8" s="60">
        <v>3619</v>
      </c>
      <c r="F8" s="137">
        <v>3587.9</v>
      </c>
      <c r="G8" s="137">
        <v>4530.7</v>
      </c>
      <c r="H8" s="137">
        <v>9731.1</v>
      </c>
      <c r="I8" s="137">
        <v>15215.1</v>
      </c>
      <c r="J8" s="138">
        <v>3464.1</v>
      </c>
      <c r="K8" s="138">
        <v>3290.6</v>
      </c>
      <c r="L8" s="138">
        <v>3454.7</v>
      </c>
      <c r="M8" s="137">
        <v>3131.5</v>
      </c>
      <c r="N8" s="137">
        <v>5652.8</v>
      </c>
      <c r="O8" s="137">
        <v>15460.9</v>
      </c>
      <c r="P8" s="137">
        <v>7148.9</v>
      </c>
      <c r="Q8" s="137">
        <v>8667.3</v>
      </c>
      <c r="R8" s="137">
        <v>8497.97</v>
      </c>
      <c r="S8" s="63">
        <v>3848.3</v>
      </c>
      <c r="T8" s="63">
        <v>5674.9</v>
      </c>
      <c r="U8" s="61">
        <v>6167</v>
      </c>
      <c r="V8" s="61">
        <v>5444.2</v>
      </c>
      <c r="W8" s="61">
        <v>4328.2</v>
      </c>
      <c r="X8" s="62">
        <v>5423.4</v>
      </c>
      <c r="Y8" s="62">
        <v>14089.5</v>
      </c>
      <c r="Z8" s="62"/>
      <c r="AA8" s="62"/>
      <c r="AB8" s="61"/>
      <c r="AC8" s="64"/>
      <c r="AD8" s="64"/>
      <c r="AE8" s="65">
        <f>SUM(D8:AD8)+C8-AF9+AF16+AF25</f>
        <v>175461.74000000005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160438.53</v>
      </c>
      <c r="C9" s="104">
        <f aca="true" t="shared" si="0" ref="C9:AD9">C10+C15+C24+C33+C47+C52+C54+C61+C62+C71+C72+C88+C76+C81+C83+C82+C69+C89+C90+C91+C70+C40+C92</f>
        <v>143867.49549</v>
      </c>
      <c r="D9" s="68">
        <f t="shared" si="0"/>
        <v>1052.9</v>
      </c>
      <c r="E9" s="68">
        <f t="shared" si="0"/>
        <v>2559.4</v>
      </c>
      <c r="F9" s="68">
        <f t="shared" si="0"/>
        <v>4458.700000000001</v>
      </c>
      <c r="G9" s="68">
        <f t="shared" si="0"/>
        <v>1105.1</v>
      </c>
      <c r="H9" s="68">
        <f t="shared" si="0"/>
        <v>3533.4</v>
      </c>
      <c r="I9" s="68">
        <f t="shared" si="0"/>
        <v>1003.1</v>
      </c>
      <c r="J9" s="104">
        <f t="shared" si="0"/>
        <v>2627.6000000000004</v>
      </c>
      <c r="K9" s="68">
        <f t="shared" si="0"/>
        <v>5664.0999999999985</v>
      </c>
      <c r="L9" s="104">
        <f>L10+L15+L24+L33+L47+L52+L54+L61+L62+L71+L72+L88+L76+L81+L83+L82+L69+L89+L90+L91+L70+L40+L92</f>
        <v>26307.600000000006</v>
      </c>
      <c r="M9" s="68">
        <f t="shared" si="0"/>
        <v>4350.1</v>
      </c>
      <c r="N9" s="68">
        <f t="shared" si="0"/>
        <v>843.6</v>
      </c>
      <c r="O9" s="68">
        <f t="shared" si="0"/>
        <v>2425.2</v>
      </c>
      <c r="P9" s="68">
        <f t="shared" si="0"/>
        <v>3506.6</v>
      </c>
      <c r="Q9" s="68">
        <f t="shared" si="0"/>
        <v>2665.4</v>
      </c>
      <c r="R9" s="68">
        <f t="shared" si="0"/>
        <v>7658.799999999999</v>
      </c>
      <c r="S9" s="68">
        <f t="shared" si="0"/>
        <v>1543.5</v>
      </c>
      <c r="T9" s="68">
        <f t="shared" si="0"/>
        <v>2242.3</v>
      </c>
      <c r="U9" s="68">
        <f t="shared" si="0"/>
        <v>3056.4000000000005</v>
      </c>
      <c r="V9" s="68">
        <f t="shared" si="0"/>
        <v>44473.00000000001</v>
      </c>
      <c r="W9" s="68">
        <f t="shared" si="0"/>
        <v>10102.900000000001</v>
      </c>
      <c r="X9" s="68">
        <f t="shared" si="0"/>
        <v>564.5</v>
      </c>
      <c r="Y9" s="68">
        <f t="shared" si="0"/>
        <v>1912.1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133656.30000000002</v>
      </c>
      <c r="AG9" s="69">
        <f>AG10+AG15+AG24+AG33+AG47+AG52+AG54+AG61+AG62+AG71+AG72+AG76+AG88+AG81+AG83+AG82+AG69+AG89+AG91+AG90+AG70+AG40+AG92</f>
        <v>170649.72548999998</v>
      </c>
      <c r="AH9" s="41"/>
      <c r="AI9" s="41"/>
    </row>
    <row r="10" spans="1:34" ht="15.75">
      <c r="A10" s="4" t="s">
        <v>4</v>
      </c>
      <c r="B10" s="72">
        <f>16579.7+90+100</f>
        <v>16769.7</v>
      </c>
      <c r="C10" s="72">
        <v>5057.100000000002</v>
      </c>
      <c r="D10" s="67">
        <v>289.5</v>
      </c>
      <c r="E10" s="67">
        <v>159.5</v>
      </c>
      <c r="F10" s="67">
        <v>45.5</v>
      </c>
      <c r="G10" s="67">
        <v>272.9</v>
      </c>
      <c r="H10" s="67">
        <v>6.4</v>
      </c>
      <c r="I10" s="67">
        <v>15</v>
      </c>
      <c r="J10" s="70">
        <v>651.4</v>
      </c>
      <c r="K10" s="67">
        <v>20.5</v>
      </c>
      <c r="L10" s="72">
        <v>4031.5</v>
      </c>
      <c r="M10" s="67">
        <v>1228.8</v>
      </c>
      <c r="N10" s="67">
        <v>14.4</v>
      </c>
      <c r="O10" s="71">
        <v>48.8</v>
      </c>
      <c r="P10" s="67">
        <v>1386</v>
      </c>
      <c r="Q10" s="67">
        <v>67.5</v>
      </c>
      <c r="R10" s="67">
        <v>144.7</v>
      </c>
      <c r="S10" s="72">
        <v>15.5</v>
      </c>
      <c r="T10" s="72">
        <v>25.5</v>
      </c>
      <c r="U10" s="72">
        <v>4.2</v>
      </c>
      <c r="V10" s="72">
        <v>2151.2</v>
      </c>
      <c r="W10" s="72">
        <v>5814.1</v>
      </c>
      <c r="X10" s="67">
        <v>511.4</v>
      </c>
      <c r="Y10" s="71">
        <v>1.5</v>
      </c>
      <c r="Z10" s="72"/>
      <c r="AA10" s="72"/>
      <c r="AB10" s="67"/>
      <c r="AC10" s="67"/>
      <c r="AD10" s="67"/>
      <c r="AE10" s="67"/>
      <c r="AF10" s="67">
        <f>SUM(D10:AD10)</f>
        <v>16905.800000000003</v>
      </c>
      <c r="AG10" s="72">
        <f>B10+C10-AF10</f>
        <v>4921</v>
      </c>
      <c r="AH10" s="18"/>
    </row>
    <row r="11" spans="1:34" ht="15.75">
      <c r="A11" s="3" t="s">
        <v>5</v>
      </c>
      <c r="B11" s="72">
        <f>15580.5+150+9.9</f>
        <v>15740.4</v>
      </c>
      <c r="C11" s="72">
        <v>2547.8200000000033</v>
      </c>
      <c r="D11" s="67">
        <v>285.5</v>
      </c>
      <c r="E11" s="67">
        <v>155.8</v>
      </c>
      <c r="F11" s="67"/>
      <c r="G11" s="67">
        <v>262.1</v>
      </c>
      <c r="H11" s="67"/>
      <c r="I11" s="67"/>
      <c r="J11" s="72">
        <v>565.9</v>
      </c>
      <c r="K11" s="67"/>
      <c r="L11" s="72">
        <v>4021.2</v>
      </c>
      <c r="M11" s="67">
        <v>1139.1</v>
      </c>
      <c r="N11" s="67"/>
      <c r="O11" s="71">
        <v>19.7</v>
      </c>
      <c r="P11" s="67"/>
      <c r="Q11" s="67">
        <v>57.6</v>
      </c>
      <c r="R11" s="67">
        <v>141</v>
      </c>
      <c r="S11" s="72"/>
      <c r="T11" s="72"/>
      <c r="U11" s="72"/>
      <c r="V11" s="72">
        <v>1947.8</v>
      </c>
      <c r="W11" s="72">
        <v>5728.1</v>
      </c>
      <c r="X11" s="67">
        <v>511.4</v>
      </c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14835.2</v>
      </c>
      <c r="AG11" s="72">
        <f>B11+C11-AF11</f>
        <v>3453.0200000000004</v>
      </c>
      <c r="AH11" s="18"/>
    </row>
    <row r="12" spans="1:34" ht="15.75">
      <c r="A12" s="3" t="s">
        <v>2</v>
      </c>
      <c r="B12" s="70">
        <f>98.6-17.3-4.5</f>
        <v>76.8</v>
      </c>
      <c r="C12" s="72">
        <v>294.69999999999993</v>
      </c>
      <c r="D12" s="67"/>
      <c r="E12" s="67"/>
      <c r="F12" s="67">
        <v>4.3</v>
      </c>
      <c r="G12" s="67"/>
      <c r="H12" s="67"/>
      <c r="I12" s="67"/>
      <c r="J12" s="72">
        <v>22</v>
      </c>
      <c r="K12" s="67"/>
      <c r="L12" s="72"/>
      <c r="M12" s="67"/>
      <c r="N12" s="67">
        <v>2.1</v>
      </c>
      <c r="O12" s="71"/>
      <c r="P12" s="67"/>
      <c r="Q12" s="67"/>
      <c r="R12" s="67"/>
      <c r="S12" s="72"/>
      <c r="T12" s="72"/>
      <c r="U12" s="72"/>
      <c r="V12" s="72">
        <v>65.9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94.30000000000001</v>
      </c>
      <c r="AG12" s="72">
        <f>B12+C12-AF12</f>
        <v>277.19999999999993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952.5000000000011</v>
      </c>
      <c r="C14" s="72">
        <v>2218.9800000000005</v>
      </c>
      <c r="D14" s="67">
        <f t="shared" si="2"/>
        <v>4</v>
      </c>
      <c r="E14" s="67">
        <f t="shared" si="2"/>
        <v>3.6999999999999886</v>
      </c>
      <c r="F14" s="67">
        <f t="shared" si="2"/>
        <v>41.2</v>
      </c>
      <c r="G14" s="67">
        <f t="shared" si="2"/>
        <v>10.799999999999955</v>
      </c>
      <c r="H14" s="67">
        <f t="shared" si="2"/>
        <v>6.4</v>
      </c>
      <c r="I14" s="67">
        <f t="shared" si="2"/>
        <v>15</v>
      </c>
      <c r="J14" s="72">
        <f t="shared" si="2"/>
        <v>63.5</v>
      </c>
      <c r="K14" s="67">
        <f t="shared" si="2"/>
        <v>20.5</v>
      </c>
      <c r="L14" s="72">
        <f t="shared" si="2"/>
        <v>10.300000000000182</v>
      </c>
      <c r="M14" s="67">
        <f t="shared" si="2"/>
        <v>89.70000000000005</v>
      </c>
      <c r="N14" s="67">
        <f t="shared" si="2"/>
        <v>12.3</v>
      </c>
      <c r="O14" s="67">
        <f t="shared" si="2"/>
        <v>29.099999999999998</v>
      </c>
      <c r="P14" s="67">
        <f t="shared" si="2"/>
        <v>1386</v>
      </c>
      <c r="Q14" s="67">
        <f t="shared" si="2"/>
        <v>9.899999999999999</v>
      </c>
      <c r="R14" s="67">
        <f t="shared" si="2"/>
        <v>3.6999999999999886</v>
      </c>
      <c r="S14" s="67">
        <f t="shared" si="2"/>
        <v>15.5</v>
      </c>
      <c r="T14" s="67">
        <f t="shared" si="2"/>
        <v>25.5</v>
      </c>
      <c r="U14" s="67">
        <f t="shared" si="2"/>
        <v>4.2</v>
      </c>
      <c r="V14" s="67">
        <f t="shared" si="2"/>
        <v>137.49999999999986</v>
      </c>
      <c r="W14" s="67">
        <f t="shared" si="2"/>
        <v>86</v>
      </c>
      <c r="X14" s="67">
        <f t="shared" si="2"/>
        <v>0</v>
      </c>
      <c r="Y14" s="67">
        <f t="shared" si="2"/>
        <v>1.5</v>
      </c>
      <c r="Z14" s="67"/>
      <c r="AA14" s="67"/>
      <c r="AB14" s="67"/>
      <c r="AC14" s="67"/>
      <c r="AD14" s="67"/>
      <c r="AE14" s="67"/>
      <c r="AF14" s="71">
        <f t="shared" si="1"/>
        <v>1976.3000000000002</v>
      </c>
      <c r="AG14" s="72">
        <f>AG10-AG11-AG12-AG13</f>
        <v>1190.7799999999997</v>
      </c>
      <c r="AH14" s="18"/>
    </row>
    <row r="15" spans="1:35" ht="15" customHeight="1">
      <c r="A15" s="4" t="s">
        <v>6</v>
      </c>
      <c r="B15" s="72">
        <v>31636.76</v>
      </c>
      <c r="C15" s="72">
        <v>39759.90000000001</v>
      </c>
      <c r="D15" s="73">
        <v>196.9</v>
      </c>
      <c r="E15" s="73"/>
      <c r="F15" s="67">
        <v>302.6</v>
      </c>
      <c r="G15" s="67">
        <v>3.4</v>
      </c>
      <c r="H15" s="67">
        <v>241.5</v>
      </c>
      <c r="I15" s="67"/>
      <c r="J15" s="72">
        <v>564.1</v>
      </c>
      <c r="K15" s="67">
        <v>409.7</v>
      </c>
      <c r="L15" s="72">
        <f>6351.3+3426.1</f>
        <v>9777.4</v>
      </c>
      <c r="M15" s="67">
        <v>7.2</v>
      </c>
      <c r="N15" s="67">
        <v>332.8</v>
      </c>
      <c r="O15" s="71">
        <v>139.8</v>
      </c>
      <c r="P15" s="67">
        <v>550.1</v>
      </c>
      <c r="Q15" s="71">
        <v>403.6</v>
      </c>
      <c r="R15" s="67">
        <v>248.7</v>
      </c>
      <c r="S15" s="72">
        <v>118</v>
      </c>
      <c r="T15" s="72">
        <v>417.3</v>
      </c>
      <c r="U15" s="72">
        <v>700.2</v>
      </c>
      <c r="V15" s="72">
        <f>14138.1+9016.3</f>
        <v>23154.4</v>
      </c>
      <c r="W15" s="72">
        <v>1439.5</v>
      </c>
      <c r="X15" s="67">
        <v>19.4</v>
      </c>
      <c r="Y15" s="72"/>
      <c r="Z15" s="72"/>
      <c r="AA15" s="72"/>
      <c r="AB15" s="67"/>
      <c r="AC15" s="67"/>
      <c r="AD15" s="67"/>
      <c r="AE15" s="67"/>
      <c r="AF15" s="71">
        <f t="shared" si="1"/>
        <v>39026.600000000006</v>
      </c>
      <c r="AG15" s="72">
        <f aca="true" t="shared" si="3" ref="AG15:AG31">B15+C15-AF15</f>
        <v>32370.059999999998</v>
      </c>
      <c r="AH15" s="18"/>
      <c r="AI15" s="86"/>
    </row>
    <row r="16" spans="1:34" s="53" customFormat="1" ht="15" customHeight="1">
      <c r="A16" s="51" t="s">
        <v>38</v>
      </c>
      <c r="B16" s="76">
        <v>7970.8</v>
      </c>
      <c r="C16" s="76">
        <v>11700.699999999999</v>
      </c>
      <c r="D16" s="74"/>
      <c r="E16" s="74"/>
      <c r="F16" s="75"/>
      <c r="G16" s="75"/>
      <c r="H16" s="75"/>
      <c r="I16" s="75"/>
      <c r="J16" s="76"/>
      <c r="K16" s="75"/>
      <c r="L16" s="76">
        <v>3426.1</v>
      </c>
      <c r="M16" s="75"/>
      <c r="N16" s="75"/>
      <c r="O16" s="77"/>
      <c r="P16" s="75"/>
      <c r="Q16" s="77"/>
      <c r="R16" s="75"/>
      <c r="S16" s="76"/>
      <c r="T16" s="76"/>
      <c r="U16" s="76"/>
      <c r="V16" s="76">
        <v>9016.3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12442.4</v>
      </c>
      <c r="AG16" s="115">
        <f t="shared" si="3"/>
        <v>7229.1</v>
      </c>
      <c r="AH16" s="116"/>
    </row>
    <row r="17" spans="1:34" ht="15.75">
      <c r="A17" s="3" t="s">
        <v>5</v>
      </c>
      <c r="B17" s="72">
        <f>25488.4+155.1</f>
        <v>25643.5</v>
      </c>
      <c r="C17" s="72">
        <v>24387.91999999999</v>
      </c>
      <c r="D17" s="67">
        <v>196.9</v>
      </c>
      <c r="E17" s="67"/>
      <c r="F17" s="67">
        <v>34</v>
      </c>
      <c r="G17" s="67"/>
      <c r="H17" s="67"/>
      <c r="I17" s="67"/>
      <c r="J17" s="72"/>
      <c r="K17" s="67"/>
      <c r="L17" s="72">
        <f>6342.3+3426.1</f>
        <v>9768.4</v>
      </c>
      <c r="M17" s="67">
        <v>7.2</v>
      </c>
      <c r="N17" s="67"/>
      <c r="O17" s="71"/>
      <c r="P17" s="67"/>
      <c r="Q17" s="71"/>
      <c r="R17" s="67"/>
      <c r="S17" s="72"/>
      <c r="T17" s="72"/>
      <c r="U17" s="72"/>
      <c r="V17" s="72">
        <f>14002.4+9016.3</f>
        <v>23018.699999999997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33025.2</v>
      </c>
      <c r="AG17" s="72">
        <f t="shared" si="3"/>
        <v>17006.219999999994</v>
      </c>
      <c r="AH17" s="21"/>
    </row>
    <row r="18" spans="1:34" ht="15.75">
      <c r="A18" s="3" t="s">
        <v>3</v>
      </c>
      <c r="B18" s="72">
        <v>0</v>
      </c>
      <c r="C18" s="72">
        <v>9.499999999999998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9.499999999999998</v>
      </c>
      <c r="AH18" s="18"/>
    </row>
    <row r="19" spans="1:34" ht="15.75">
      <c r="A19" s="3" t="s">
        <v>1</v>
      </c>
      <c r="B19" s="72">
        <f>2479.9-155.1</f>
        <v>2324.8</v>
      </c>
      <c r="C19" s="72">
        <v>6377.2</v>
      </c>
      <c r="D19" s="67"/>
      <c r="E19" s="67"/>
      <c r="F19" s="67">
        <v>9.1</v>
      </c>
      <c r="G19" s="67"/>
      <c r="H19" s="67">
        <v>87.5</v>
      </c>
      <c r="I19" s="67"/>
      <c r="J19" s="72">
        <v>10.5</v>
      </c>
      <c r="K19" s="67">
        <v>63.4</v>
      </c>
      <c r="L19" s="72"/>
      <c r="M19" s="67"/>
      <c r="N19" s="67">
        <v>226.3</v>
      </c>
      <c r="O19" s="71">
        <v>28</v>
      </c>
      <c r="P19" s="67"/>
      <c r="Q19" s="71">
        <v>24.4</v>
      </c>
      <c r="R19" s="67">
        <v>70.3</v>
      </c>
      <c r="S19" s="72"/>
      <c r="T19" s="72">
        <v>1.5</v>
      </c>
      <c r="U19" s="72">
        <v>8.2</v>
      </c>
      <c r="V19" s="72"/>
      <c r="W19" s="72">
        <v>1383.7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1912.9</v>
      </c>
      <c r="AG19" s="72">
        <f t="shared" si="3"/>
        <v>6789.1</v>
      </c>
      <c r="AH19" s="18"/>
    </row>
    <row r="20" spans="1:34" ht="15.75">
      <c r="A20" s="3" t="s">
        <v>2</v>
      </c>
      <c r="B20" s="72">
        <v>848.4</v>
      </c>
      <c r="C20" s="72">
        <v>1105.65</v>
      </c>
      <c r="D20" s="67"/>
      <c r="E20" s="67"/>
      <c r="F20" s="67">
        <v>30.5</v>
      </c>
      <c r="G20" s="67"/>
      <c r="H20" s="67"/>
      <c r="I20" s="67"/>
      <c r="J20" s="72">
        <v>135</v>
      </c>
      <c r="K20" s="67">
        <v>11.8</v>
      </c>
      <c r="L20" s="72"/>
      <c r="M20" s="67"/>
      <c r="N20" s="67">
        <v>4.2</v>
      </c>
      <c r="O20" s="71">
        <v>14.2</v>
      </c>
      <c r="P20" s="67">
        <v>88</v>
      </c>
      <c r="Q20" s="71">
        <v>274.6</v>
      </c>
      <c r="R20" s="67">
        <v>15.1</v>
      </c>
      <c r="S20" s="72">
        <v>10.4</v>
      </c>
      <c r="T20" s="72">
        <v>114.9</v>
      </c>
      <c r="U20" s="72">
        <v>3.6</v>
      </c>
      <c r="V20" s="72">
        <v>1.3</v>
      </c>
      <c r="W20" s="72">
        <v>1.9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705.4999999999999</v>
      </c>
      <c r="AG20" s="72">
        <f t="shared" si="3"/>
        <v>1248.5500000000002</v>
      </c>
      <c r="AH20" s="18"/>
    </row>
    <row r="21" spans="1:34" ht="15.75">
      <c r="A21" s="3" t="s">
        <v>16</v>
      </c>
      <c r="B21" s="72">
        <v>579.4</v>
      </c>
      <c r="C21" s="72">
        <v>238</v>
      </c>
      <c r="D21" s="67"/>
      <c r="E21" s="67"/>
      <c r="F21" s="67">
        <v>97.5</v>
      </c>
      <c r="G21" s="67"/>
      <c r="H21" s="67"/>
      <c r="I21" s="67"/>
      <c r="J21" s="72">
        <v>11</v>
      </c>
      <c r="K21" s="67">
        <v>91.4</v>
      </c>
      <c r="L21" s="72"/>
      <c r="M21" s="67"/>
      <c r="N21" s="67"/>
      <c r="O21" s="71">
        <v>97.6</v>
      </c>
      <c r="P21" s="67"/>
      <c r="Q21" s="71">
        <v>10.6</v>
      </c>
      <c r="R21" s="67"/>
      <c r="S21" s="72"/>
      <c r="T21" s="72"/>
      <c r="U21" s="67">
        <v>295.3</v>
      </c>
      <c r="V21" s="67">
        <v>0.4</v>
      </c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603.8000000000001</v>
      </c>
      <c r="AG21" s="72">
        <f t="shared" si="3"/>
        <v>213.5999999999999</v>
      </c>
      <c r="AH21" s="18"/>
    </row>
    <row r="22" spans="1:34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2240.659999999998</v>
      </c>
      <c r="C23" s="72">
        <v>7549.7210000000105</v>
      </c>
      <c r="D23" s="67">
        <f t="shared" si="4"/>
        <v>0</v>
      </c>
      <c r="E23" s="67">
        <f t="shared" si="4"/>
        <v>0</v>
      </c>
      <c r="F23" s="67">
        <f t="shared" si="4"/>
        <v>131.5</v>
      </c>
      <c r="G23" s="67">
        <f t="shared" si="4"/>
        <v>3.4</v>
      </c>
      <c r="H23" s="67">
        <f t="shared" si="4"/>
        <v>154</v>
      </c>
      <c r="I23" s="67">
        <f t="shared" si="4"/>
        <v>0</v>
      </c>
      <c r="J23" s="72">
        <f t="shared" si="4"/>
        <v>407.6</v>
      </c>
      <c r="K23" s="67">
        <f t="shared" si="4"/>
        <v>243.1</v>
      </c>
      <c r="L23" s="72">
        <f t="shared" si="4"/>
        <v>9</v>
      </c>
      <c r="M23" s="67">
        <f t="shared" si="4"/>
        <v>0</v>
      </c>
      <c r="N23" s="67">
        <f t="shared" si="4"/>
        <v>102.3</v>
      </c>
      <c r="O23" s="67">
        <f t="shared" si="4"/>
        <v>1.4210854715202004E-14</v>
      </c>
      <c r="P23" s="67">
        <f t="shared" si="4"/>
        <v>462.1</v>
      </c>
      <c r="Q23" s="67">
        <f t="shared" si="4"/>
        <v>94.00000000000003</v>
      </c>
      <c r="R23" s="67">
        <f t="shared" si="4"/>
        <v>163.29999999999998</v>
      </c>
      <c r="S23" s="67">
        <f t="shared" si="4"/>
        <v>107.6</v>
      </c>
      <c r="T23" s="67">
        <f t="shared" si="4"/>
        <v>300.9</v>
      </c>
      <c r="U23" s="67">
        <f t="shared" si="4"/>
        <v>393.09999999999997</v>
      </c>
      <c r="V23" s="67">
        <f t="shared" si="4"/>
        <v>134.00000000000435</v>
      </c>
      <c r="W23" s="67">
        <f t="shared" si="4"/>
        <v>53.899999999999956</v>
      </c>
      <c r="X23" s="67">
        <f t="shared" si="4"/>
        <v>19.4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2779.2000000000044</v>
      </c>
      <c r="AG23" s="72">
        <f>B23+C23-AF23</f>
        <v>7011.181000000004</v>
      </c>
      <c r="AH23" s="18"/>
    </row>
    <row r="24" spans="1:35" ht="15" customHeight="1">
      <c r="A24" s="4" t="s">
        <v>7</v>
      </c>
      <c r="B24" s="72">
        <v>24552.8</v>
      </c>
      <c r="C24" s="72">
        <v>14597.199999999983</v>
      </c>
      <c r="D24" s="67"/>
      <c r="E24" s="67"/>
      <c r="F24" s="67"/>
      <c r="G24" s="67">
        <v>323.6</v>
      </c>
      <c r="H24" s="67"/>
      <c r="I24" s="67"/>
      <c r="J24" s="72"/>
      <c r="K24" s="67">
        <f>1214.5+919.1</f>
        <v>2133.6</v>
      </c>
      <c r="L24" s="72">
        <f>586.1+8962.4</f>
        <v>9548.5</v>
      </c>
      <c r="M24" s="67"/>
      <c r="N24" s="67">
        <v>1.3</v>
      </c>
      <c r="O24" s="71">
        <v>292.6</v>
      </c>
      <c r="P24" s="67">
        <v>401</v>
      </c>
      <c r="Q24" s="71">
        <v>203.1</v>
      </c>
      <c r="R24" s="71">
        <v>11.8</v>
      </c>
      <c r="S24" s="72"/>
      <c r="T24" s="72"/>
      <c r="U24" s="72">
        <v>657.3</v>
      </c>
      <c r="V24" s="72">
        <f>8394.8+4603.2</f>
        <v>12998</v>
      </c>
      <c r="W24" s="72">
        <v>59.8</v>
      </c>
      <c r="X24" s="67">
        <v>20.7</v>
      </c>
      <c r="Y24" s="72"/>
      <c r="Z24" s="72"/>
      <c r="AA24" s="72"/>
      <c r="AB24" s="67"/>
      <c r="AC24" s="67"/>
      <c r="AD24" s="67"/>
      <c r="AE24" s="67"/>
      <c r="AF24" s="71">
        <f t="shared" si="1"/>
        <v>26651.3</v>
      </c>
      <c r="AG24" s="72">
        <f t="shared" si="3"/>
        <v>12498.699999999986</v>
      </c>
      <c r="AI24" s="86"/>
    </row>
    <row r="25" spans="1:35" s="117" customFormat="1" ht="15" customHeight="1">
      <c r="A25" s="113" t="s">
        <v>39</v>
      </c>
      <c r="B25" s="76">
        <v>15694.8</v>
      </c>
      <c r="C25" s="76">
        <v>308.09999999999854</v>
      </c>
      <c r="D25" s="76"/>
      <c r="E25" s="76"/>
      <c r="F25" s="76"/>
      <c r="G25" s="76">
        <v>260.2</v>
      </c>
      <c r="H25" s="76"/>
      <c r="I25" s="76"/>
      <c r="J25" s="76"/>
      <c r="K25" s="76">
        <v>919.1</v>
      </c>
      <c r="L25" s="76">
        <v>8962.4</v>
      </c>
      <c r="M25" s="76"/>
      <c r="N25" s="76"/>
      <c r="O25" s="76"/>
      <c r="P25" s="76">
        <v>332.1</v>
      </c>
      <c r="Q25" s="76">
        <v>203.1</v>
      </c>
      <c r="R25" s="76">
        <v>11.8</v>
      </c>
      <c r="S25" s="76"/>
      <c r="T25" s="76"/>
      <c r="U25" s="76">
        <v>443.1</v>
      </c>
      <c r="V25" s="76">
        <v>4603.2</v>
      </c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15735</v>
      </c>
      <c r="AG25" s="115">
        <f t="shared" si="3"/>
        <v>267.8999999999978</v>
      </c>
      <c r="AH25" s="116"/>
      <c r="AI25" s="142"/>
    </row>
    <row r="26" spans="1:34" ht="15.75" hidden="1">
      <c r="A26" s="3" t="s">
        <v>5</v>
      </c>
      <c r="B26" s="72"/>
      <c r="C26" s="72">
        <v>0</v>
      </c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>
        <v>0</v>
      </c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>
        <v>0</v>
      </c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>
        <v>0</v>
      </c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>
        <v>0</v>
      </c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24552.8</v>
      </c>
      <c r="C32" s="72">
        <v>14597.399999999983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0</v>
      </c>
      <c r="G32" s="67">
        <f t="shared" si="5"/>
        <v>323.6</v>
      </c>
      <c r="H32" s="67">
        <f t="shared" si="5"/>
        <v>0</v>
      </c>
      <c r="I32" s="67">
        <f t="shared" si="5"/>
        <v>0</v>
      </c>
      <c r="J32" s="72">
        <f t="shared" si="5"/>
        <v>0</v>
      </c>
      <c r="K32" s="67">
        <f t="shared" si="5"/>
        <v>2133.6</v>
      </c>
      <c r="L32" s="72">
        <f t="shared" si="5"/>
        <v>9548.5</v>
      </c>
      <c r="M32" s="67">
        <f t="shared" si="5"/>
        <v>0</v>
      </c>
      <c r="N32" s="67">
        <f t="shared" si="5"/>
        <v>1.3</v>
      </c>
      <c r="O32" s="67">
        <f t="shared" si="5"/>
        <v>292.6</v>
      </c>
      <c r="P32" s="67">
        <f t="shared" si="5"/>
        <v>401</v>
      </c>
      <c r="Q32" s="67">
        <f t="shared" si="5"/>
        <v>203.1</v>
      </c>
      <c r="R32" s="67">
        <f t="shared" si="5"/>
        <v>11.8</v>
      </c>
      <c r="S32" s="67">
        <f t="shared" si="5"/>
        <v>0</v>
      </c>
      <c r="T32" s="67">
        <f t="shared" si="5"/>
        <v>0</v>
      </c>
      <c r="U32" s="67">
        <f t="shared" si="5"/>
        <v>657.3</v>
      </c>
      <c r="V32" s="67">
        <f t="shared" si="5"/>
        <v>12998</v>
      </c>
      <c r="W32" s="67">
        <f t="shared" si="5"/>
        <v>59.8</v>
      </c>
      <c r="X32" s="67">
        <f t="shared" si="5"/>
        <v>20.7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26651.3</v>
      </c>
      <c r="AG32" s="72">
        <f>AG24</f>
        <v>12498.699999999986</v>
      </c>
    </row>
    <row r="33" spans="1:33" ht="15" customHeight="1">
      <c r="A33" s="4" t="s">
        <v>8</v>
      </c>
      <c r="B33" s="72">
        <v>2025.8</v>
      </c>
      <c r="C33" s="72">
        <v>3582.89</v>
      </c>
      <c r="D33" s="67"/>
      <c r="E33" s="67"/>
      <c r="F33" s="67"/>
      <c r="G33" s="67"/>
      <c r="H33" s="67"/>
      <c r="I33" s="67"/>
      <c r="J33" s="72"/>
      <c r="K33" s="67"/>
      <c r="L33" s="72">
        <v>42.3</v>
      </c>
      <c r="M33" s="67">
        <v>44.8</v>
      </c>
      <c r="N33" s="67">
        <v>283.5</v>
      </c>
      <c r="O33" s="71">
        <v>103.6</v>
      </c>
      <c r="P33" s="67"/>
      <c r="Q33" s="71">
        <v>69.1</v>
      </c>
      <c r="R33" s="67"/>
      <c r="S33" s="72"/>
      <c r="T33" s="72">
        <v>2.5</v>
      </c>
      <c r="U33" s="72">
        <v>643.4</v>
      </c>
      <c r="V33" s="72">
        <v>654</v>
      </c>
      <c r="W33" s="72">
        <v>1151</v>
      </c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2994.2</v>
      </c>
      <c r="AG33" s="72">
        <f aca="true" t="shared" si="6" ref="AG33:AG38">B33+C33-AF33</f>
        <v>2614.49</v>
      </c>
    </row>
    <row r="34" spans="1:33" ht="15.75">
      <c r="A34" s="3" t="s">
        <v>5</v>
      </c>
      <c r="B34" s="72">
        <v>246.4</v>
      </c>
      <c r="C34" s="72">
        <v>87.51999999999998</v>
      </c>
      <c r="D34" s="67"/>
      <c r="E34" s="67"/>
      <c r="F34" s="67"/>
      <c r="G34" s="67"/>
      <c r="H34" s="67"/>
      <c r="I34" s="67"/>
      <c r="J34" s="72"/>
      <c r="K34" s="67"/>
      <c r="L34" s="72">
        <v>42.3</v>
      </c>
      <c r="M34" s="67">
        <v>43</v>
      </c>
      <c r="N34" s="67"/>
      <c r="O34" s="67"/>
      <c r="P34" s="67"/>
      <c r="Q34" s="71"/>
      <c r="R34" s="67"/>
      <c r="S34" s="72"/>
      <c r="T34" s="72"/>
      <c r="U34" s="72">
        <v>65</v>
      </c>
      <c r="V34" s="72">
        <v>68.5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218.8</v>
      </c>
      <c r="AG34" s="72">
        <f t="shared" si="6"/>
        <v>115.11999999999995</v>
      </c>
    </row>
    <row r="35" spans="1:33" ht="15.75">
      <c r="A35" s="3" t="s">
        <v>1</v>
      </c>
      <c r="B35" s="72">
        <v>0</v>
      </c>
      <c r="C35" s="72">
        <v>172.38599999999997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>
        <v>101.3</v>
      </c>
      <c r="P35" s="67"/>
      <c r="Q35" s="71">
        <v>69.1</v>
      </c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170.39999999999998</v>
      </c>
      <c r="AG35" s="72">
        <f t="shared" si="6"/>
        <v>1.98599999999999</v>
      </c>
    </row>
    <row r="36" spans="1:33" ht="15.75">
      <c r="A36" s="3" t="s">
        <v>2</v>
      </c>
      <c r="B36" s="111">
        <v>3</v>
      </c>
      <c r="C36" s="72">
        <v>18.4</v>
      </c>
      <c r="D36" s="67"/>
      <c r="E36" s="67"/>
      <c r="F36" s="67"/>
      <c r="G36" s="67"/>
      <c r="H36" s="67"/>
      <c r="I36" s="67"/>
      <c r="J36" s="72"/>
      <c r="K36" s="67"/>
      <c r="L36" s="72"/>
      <c r="M36" s="67">
        <v>0.1</v>
      </c>
      <c r="N36" s="72"/>
      <c r="O36" s="71">
        <v>0.1</v>
      </c>
      <c r="P36" s="67"/>
      <c r="Q36" s="71"/>
      <c r="R36" s="67"/>
      <c r="S36" s="72"/>
      <c r="T36" s="72">
        <v>2.1</v>
      </c>
      <c r="U36" s="67"/>
      <c r="V36" s="67">
        <v>1.2</v>
      </c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3.5</v>
      </c>
      <c r="AG36" s="72">
        <f t="shared" si="6"/>
        <v>17.9</v>
      </c>
    </row>
    <row r="37" spans="1:33" ht="15.75">
      <c r="A37" s="3" t="s">
        <v>16</v>
      </c>
      <c r="B37" s="72">
        <v>1736.5</v>
      </c>
      <c r="C37" s="72">
        <v>2994.064</v>
      </c>
      <c r="D37" s="67"/>
      <c r="E37" s="67"/>
      <c r="F37" s="67"/>
      <c r="G37" s="67"/>
      <c r="H37" s="67"/>
      <c r="I37" s="67"/>
      <c r="J37" s="72"/>
      <c r="K37" s="67"/>
      <c r="L37" s="72"/>
      <c r="M37" s="67"/>
      <c r="N37" s="67">
        <v>283.5</v>
      </c>
      <c r="O37" s="71"/>
      <c r="P37" s="67"/>
      <c r="Q37" s="71"/>
      <c r="R37" s="67"/>
      <c r="S37" s="72"/>
      <c r="T37" s="72"/>
      <c r="U37" s="67">
        <v>578.4</v>
      </c>
      <c r="V37" s="67">
        <v>584</v>
      </c>
      <c r="W37" s="67">
        <v>1151</v>
      </c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2596.9</v>
      </c>
      <c r="AG37" s="72">
        <f t="shared" si="6"/>
        <v>2133.664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39.899999999999864</v>
      </c>
      <c r="C39" s="72">
        <v>310.52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72">
        <f t="shared" si="7"/>
        <v>0</v>
      </c>
      <c r="K39" s="67">
        <f t="shared" si="7"/>
        <v>0</v>
      </c>
      <c r="L39" s="72">
        <f t="shared" si="7"/>
        <v>0</v>
      </c>
      <c r="M39" s="67">
        <f t="shared" si="7"/>
        <v>1.699999999999997</v>
      </c>
      <c r="N39" s="67">
        <f t="shared" si="7"/>
        <v>0</v>
      </c>
      <c r="O39" s="67">
        <f t="shared" si="7"/>
        <v>2.200000000000003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0.3999999999999999</v>
      </c>
      <c r="U39" s="67">
        <f t="shared" si="7"/>
        <v>0</v>
      </c>
      <c r="V39" s="67">
        <f t="shared" si="7"/>
        <v>0.2999999999999545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4.599999999999954</v>
      </c>
      <c r="AG39" s="72">
        <f>AG33-AG34-AG36-AG38-AG35-AG37</f>
        <v>345.8199999999997</v>
      </c>
    </row>
    <row r="40" spans="1:33" ht="15" customHeight="1">
      <c r="A40" s="4" t="s">
        <v>29</v>
      </c>
      <c r="B40" s="72">
        <v>1103.83</v>
      </c>
      <c r="C40" s="72">
        <v>130.0999999999999</v>
      </c>
      <c r="D40" s="67"/>
      <c r="E40" s="67"/>
      <c r="F40" s="67"/>
      <c r="G40" s="67"/>
      <c r="H40" s="67"/>
      <c r="I40" s="67"/>
      <c r="J40" s="72"/>
      <c r="K40" s="67">
        <v>379.9</v>
      </c>
      <c r="L40" s="72">
        <v>4.5</v>
      </c>
      <c r="M40" s="67"/>
      <c r="N40" s="67"/>
      <c r="O40" s="71"/>
      <c r="P40" s="67"/>
      <c r="Q40" s="71"/>
      <c r="R40" s="71"/>
      <c r="S40" s="72"/>
      <c r="T40" s="72"/>
      <c r="U40" s="72">
        <v>611.9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996.3</v>
      </c>
      <c r="AG40" s="72">
        <f aca="true" t="shared" si="8" ref="AG40:AG45">B40+C40-AF40</f>
        <v>237.62999999999988</v>
      </c>
    </row>
    <row r="41" spans="1:34" ht="15.75">
      <c r="A41" s="3" t="s">
        <v>5</v>
      </c>
      <c r="B41" s="72">
        <v>1066</v>
      </c>
      <c r="C41" s="72">
        <v>35.18599999999992</v>
      </c>
      <c r="D41" s="67"/>
      <c r="E41" s="67"/>
      <c r="F41" s="67"/>
      <c r="G41" s="67"/>
      <c r="H41" s="67"/>
      <c r="I41" s="67"/>
      <c r="J41" s="72"/>
      <c r="K41" s="67">
        <v>359.1</v>
      </c>
      <c r="L41" s="72"/>
      <c r="M41" s="67"/>
      <c r="N41" s="67"/>
      <c r="O41" s="71"/>
      <c r="P41" s="67"/>
      <c r="Q41" s="67"/>
      <c r="R41" s="67"/>
      <c r="S41" s="72"/>
      <c r="T41" s="72"/>
      <c r="U41" s="72">
        <v>599.6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958.7</v>
      </c>
      <c r="AG41" s="72">
        <f t="shared" si="8"/>
        <v>142.48599999999988</v>
      </c>
      <c r="AH41" s="6"/>
    </row>
    <row r="42" spans="1:33" ht="15.75">
      <c r="A42" s="3" t="s">
        <v>3</v>
      </c>
      <c r="B42" s="72">
        <v>0</v>
      </c>
      <c r="C42" s="72">
        <v>0.8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>
        <v>0.7</v>
      </c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0.7</v>
      </c>
      <c r="AG42" s="72">
        <f t="shared" si="8"/>
        <v>0.10000000000000009</v>
      </c>
    </row>
    <row r="43" spans="1:33" ht="15.75">
      <c r="A43" s="3" t="s">
        <v>1</v>
      </c>
      <c r="B43" s="72">
        <v>0</v>
      </c>
      <c r="C43" s="72">
        <v>17.1</v>
      </c>
      <c r="D43" s="67"/>
      <c r="E43" s="67"/>
      <c r="F43" s="67"/>
      <c r="G43" s="67"/>
      <c r="H43" s="67"/>
      <c r="I43" s="67"/>
      <c r="J43" s="72"/>
      <c r="K43" s="67"/>
      <c r="L43" s="72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0</v>
      </c>
      <c r="AG43" s="72">
        <f t="shared" si="8"/>
        <v>17.1</v>
      </c>
    </row>
    <row r="44" spans="1:33" ht="15.75">
      <c r="A44" s="3" t="s">
        <v>2</v>
      </c>
      <c r="B44" s="72">
        <v>6.6</v>
      </c>
      <c r="C44" s="72">
        <v>54.83</v>
      </c>
      <c r="D44" s="67"/>
      <c r="E44" s="67"/>
      <c r="F44" s="67"/>
      <c r="G44" s="67"/>
      <c r="H44" s="67"/>
      <c r="I44" s="67"/>
      <c r="J44" s="72"/>
      <c r="K44" s="67">
        <v>0.8</v>
      </c>
      <c r="L44" s="72">
        <v>4.5</v>
      </c>
      <c r="M44" s="67"/>
      <c r="N44" s="67"/>
      <c r="O44" s="71"/>
      <c r="P44" s="67"/>
      <c r="Q44" s="67"/>
      <c r="R44" s="67"/>
      <c r="S44" s="72"/>
      <c r="T44" s="72"/>
      <c r="U44" s="72">
        <v>4.5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9.8</v>
      </c>
      <c r="AG44" s="72">
        <f t="shared" si="8"/>
        <v>51.629999999999995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31.229999999999926</v>
      </c>
      <c r="C46" s="72">
        <v>22.08399999999999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72">
        <f t="shared" si="9"/>
        <v>0</v>
      </c>
      <c r="K46" s="67">
        <f t="shared" si="9"/>
        <v>19.999999999999954</v>
      </c>
      <c r="L46" s="72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7.099999999999955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27.09999999999991</v>
      </c>
      <c r="AG46" s="72">
        <f>AG40-AG41-AG42-AG43-AG44-AG45</f>
        <v>26.31400000000002</v>
      </c>
    </row>
    <row r="47" spans="1:33" ht="17.25" customHeight="1">
      <c r="A47" s="4" t="s">
        <v>43</v>
      </c>
      <c r="B47" s="70">
        <v>753</v>
      </c>
      <c r="C47" s="72">
        <v>1332.7942299999963</v>
      </c>
      <c r="D47" s="67"/>
      <c r="E47" s="79">
        <v>220</v>
      </c>
      <c r="F47" s="79"/>
      <c r="G47" s="79">
        <v>61</v>
      </c>
      <c r="H47" s="79"/>
      <c r="I47" s="79"/>
      <c r="J47" s="80">
        <v>98.9</v>
      </c>
      <c r="K47" s="79"/>
      <c r="L47" s="80">
        <v>8.3</v>
      </c>
      <c r="M47" s="79">
        <v>19.9</v>
      </c>
      <c r="N47" s="79">
        <v>3.6</v>
      </c>
      <c r="O47" s="81">
        <v>72.3</v>
      </c>
      <c r="P47" s="79">
        <v>54.5</v>
      </c>
      <c r="Q47" s="79">
        <v>1.8</v>
      </c>
      <c r="R47" s="79"/>
      <c r="S47" s="80"/>
      <c r="T47" s="80">
        <v>96.8</v>
      </c>
      <c r="U47" s="79">
        <v>32.4</v>
      </c>
      <c r="V47" s="79"/>
      <c r="W47" s="79">
        <v>35</v>
      </c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704.4999999999999</v>
      </c>
      <c r="AG47" s="72">
        <f>B47+C47-AF47</f>
        <v>1381.2942299999963</v>
      </c>
    </row>
    <row r="48" spans="1:33" ht="15.75">
      <c r="A48" s="3" t="s">
        <v>5</v>
      </c>
      <c r="B48" s="72">
        <v>36.4</v>
      </c>
      <c r="C48" s="72">
        <v>65.575</v>
      </c>
      <c r="D48" s="67"/>
      <c r="E48" s="79"/>
      <c r="F48" s="79"/>
      <c r="G48" s="79"/>
      <c r="H48" s="79"/>
      <c r="I48" s="79"/>
      <c r="J48" s="80"/>
      <c r="K48" s="79"/>
      <c r="L48" s="80"/>
      <c r="M48" s="79">
        <v>19.9</v>
      </c>
      <c r="N48" s="79"/>
      <c r="O48" s="81"/>
      <c r="P48" s="79"/>
      <c r="Q48" s="79"/>
      <c r="R48" s="79"/>
      <c r="S48" s="80"/>
      <c r="T48" s="80"/>
      <c r="U48" s="79"/>
      <c r="V48" s="79"/>
      <c r="W48" s="79">
        <v>19.5</v>
      </c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39.4</v>
      </c>
      <c r="AG48" s="72">
        <f>B48+C48-AF48</f>
        <v>62.574999999999996</v>
      </c>
    </row>
    <row r="49" spans="1:33" ht="15.75">
      <c r="A49" s="3" t="s">
        <v>16</v>
      </c>
      <c r="B49" s="72">
        <v>522.2</v>
      </c>
      <c r="C49" s="72">
        <v>796.8720000000001</v>
      </c>
      <c r="D49" s="67"/>
      <c r="E49" s="67">
        <v>182.1</v>
      </c>
      <c r="F49" s="67"/>
      <c r="G49" s="67">
        <v>50.9</v>
      </c>
      <c r="H49" s="67"/>
      <c r="I49" s="67"/>
      <c r="J49" s="72">
        <f>40.8+33.7</f>
        <v>74.5</v>
      </c>
      <c r="K49" s="67"/>
      <c r="L49" s="72"/>
      <c r="M49" s="67"/>
      <c r="N49" s="67">
        <v>3.6</v>
      </c>
      <c r="O49" s="71">
        <v>68.2</v>
      </c>
      <c r="P49" s="67">
        <v>54.5</v>
      </c>
      <c r="Q49" s="67">
        <v>1.8</v>
      </c>
      <c r="R49" s="67"/>
      <c r="S49" s="72"/>
      <c r="T49" s="72">
        <v>34</v>
      </c>
      <c r="U49" s="67">
        <v>29.9</v>
      </c>
      <c r="V49" s="67"/>
      <c r="W49" s="67">
        <v>10.9</v>
      </c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510.4</v>
      </c>
      <c r="AG49" s="72">
        <f>B49+C49-AF49</f>
        <v>808.6720000000001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194.39999999999998</v>
      </c>
      <c r="C51" s="72">
        <v>470.1472299999962</v>
      </c>
      <c r="D51" s="67">
        <f aca="true" t="shared" si="10" ref="D51:AD51">D47-D48-D49</f>
        <v>0</v>
      </c>
      <c r="E51" s="67">
        <f t="shared" si="10"/>
        <v>37.900000000000006</v>
      </c>
      <c r="F51" s="67">
        <f t="shared" si="10"/>
        <v>0</v>
      </c>
      <c r="G51" s="67">
        <f t="shared" si="10"/>
        <v>10.100000000000001</v>
      </c>
      <c r="H51" s="67">
        <f t="shared" si="10"/>
        <v>0</v>
      </c>
      <c r="I51" s="67">
        <f t="shared" si="10"/>
        <v>0</v>
      </c>
      <c r="J51" s="72">
        <f t="shared" si="10"/>
        <v>24.400000000000006</v>
      </c>
      <c r="K51" s="67">
        <f t="shared" si="10"/>
        <v>0</v>
      </c>
      <c r="L51" s="72">
        <f t="shared" si="10"/>
        <v>8.3</v>
      </c>
      <c r="M51" s="67">
        <f t="shared" si="10"/>
        <v>0</v>
      </c>
      <c r="N51" s="67">
        <f t="shared" si="10"/>
        <v>0</v>
      </c>
      <c r="O51" s="67">
        <f t="shared" si="10"/>
        <v>4.099999999999994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62.8</v>
      </c>
      <c r="U51" s="67">
        <f t="shared" si="10"/>
        <v>2.5</v>
      </c>
      <c r="V51" s="67">
        <f t="shared" si="10"/>
        <v>0</v>
      </c>
      <c r="W51" s="67">
        <f t="shared" si="10"/>
        <v>4.6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154.7</v>
      </c>
      <c r="AG51" s="72">
        <f>AG47-AG49-AG48</f>
        <v>510.0472299999962</v>
      </c>
    </row>
    <row r="52" spans="1:33" ht="15" customHeight="1">
      <c r="A52" s="4" t="s">
        <v>0</v>
      </c>
      <c r="B52" s="72">
        <f>5387.3-34.7</f>
        <v>5352.6</v>
      </c>
      <c r="C52" s="72">
        <v>3604.2622600000004</v>
      </c>
      <c r="D52" s="67"/>
      <c r="E52" s="67">
        <v>371.8</v>
      </c>
      <c r="F52" s="67">
        <v>167.1</v>
      </c>
      <c r="G52" s="67">
        <v>3.3</v>
      </c>
      <c r="H52" s="67"/>
      <c r="I52" s="67"/>
      <c r="J52" s="72"/>
      <c r="K52" s="67">
        <v>427.3</v>
      </c>
      <c r="L52" s="72"/>
      <c r="M52" s="67">
        <v>895.7</v>
      </c>
      <c r="N52" s="67">
        <v>126.1</v>
      </c>
      <c r="O52" s="71"/>
      <c r="P52" s="67"/>
      <c r="Q52" s="67"/>
      <c r="R52" s="67">
        <f>48.3-47</f>
        <v>1.2999999999999972</v>
      </c>
      <c r="S52" s="72"/>
      <c r="T52" s="72"/>
      <c r="U52" s="72"/>
      <c r="V52" s="72">
        <v>729.5</v>
      </c>
      <c r="W52" s="72">
        <v>1007.4</v>
      </c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3729.5</v>
      </c>
      <c r="AG52" s="72">
        <f aca="true" t="shared" si="11" ref="AG52:AG59">B52+C52-AF52</f>
        <v>5227.362260000002</v>
      </c>
    </row>
    <row r="53" spans="1:33" ht="15" customHeight="1">
      <c r="A53" s="3" t="s">
        <v>2</v>
      </c>
      <c r="B53" s="72">
        <v>910.9</v>
      </c>
      <c r="C53" s="72">
        <v>276.201</v>
      </c>
      <c r="D53" s="67"/>
      <c r="E53" s="67"/>
      <c r="F53" s="67">
        <v>5.4</v>
      </c>
      <c r="G53" s="67"/>
      <c r="H53" s="67"/>
      <c r="I53" s="67"/>
      <c r="J53" s="72"/>
      <c r="K53" s="67"/>
      <c r="L53" s="72"/>
      <c r="M53" s="67">
        <v>212.8</v>
      </c>
      <c r="N53" s="67"/>
      <c r="O53" s="71"/>
      <c r="P53" s="67"/>
      <c r="Q53" s="67"/>
      <c r="R53" s="67"/>
      <c r="S53" s="72"/>
      <c r="T53" s="72"/>
      <c r="U53" s="72"/>
      <c r="V53" s="72"/>
      <c r="W53" s="72">
        <v>729.6</v>
      </c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947.8000000000001</v>
      </c>
      <c r="AG53" s="72">
        <f t="shared" si="11"/>
        <v>239.30100000000004</v>
      </c>
    </row>
    <row r="54" spans="1:34" ht="15" customHeight="1">
      <c r="A54" s="4" t="s">
        <v>9</v>
      </c>
      <c r="B54" s="111">
        <v>2043.84</v>
      </c>
      <c r="C54" s="72">
        <v>1104.5000000000005</v>
      </c>
      <c r="D54" s="67"/>
      <c r="E54" s="67">
        <v>95.1</v>
      </c>
      <c r="F54" s="67">
        <v>221.7</v>
      </c>
      <c r="G54" s="67">
        <v>9.9</v>
      </c>
      <c r="H54" s="67">
        <v>0.4</v>
      </c>
      <c r="I54" s="67">
        <v>9</v>
      </c>
      <c r="J54" s="72">
        <v>13</v>
      </c>
      <c r="K54" s="67">
        <v>10.6</v>
      </c>
      <c r="L54" s="72">
        <v>419.4</v>
      </c>
      <c r="M54" s="67"/>
      <c r="N54" s="67">
        <v>2.8</v>
      </c>
      <c r="O54" s="71"/>
      <c r="P54" s="67">
        <v>161.5</v>
      </c>
      <c r="Q54" s="71">
        <v>36.6</v>
      </c>
      <c r="R54" s="67"/>
      <c r="S54" s="72">
        <v>25.1</v>
      </c>
      <c r="T54" s="72">
        <v>17.6</v>
      </c>
      <c r="U54" s="72">
        <v>9.1</v>
      </c>
      <c r="V54" s="72">
        <v>600.6</v>
      </c>
      <c r="W54" s="72">
        <v>13.5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1645.9</v>
      </c>
      <c r="AG54" s="72">
        <f t="shared" si="11"/>
        <v>1502.44</v>
      </c>
      <c r="AH54" s="6"/>
    </row>
    <row r="55" spans="1:34" ht="15.75">
      <c r="A55" s="3" t="s">
        <v>5</v>
      </c>
      <c r="B55" s="72">
        <v>1134.3</v>
      </c>
      <c r="C55" s="72">
        <v>228.80700000000002</v>
      </c>
      <c r="D55" s="67"/>
      <c r="E55" s="67">
        <v>89.8</v>
      </c>
      <c r="F55" s="67"/>
      <c r="G55" s="67">
        <v>9.9</v>
      </c>
      <c r="H55" s="67"/>
      <c r="I55" s="67"/>
      <c r="J55" s="72"/>
      <c r="K55" s="67"/>
      <c r="L55" s="72">
        <v>419.4</v>
      </c>
      <c r="M55" s="67"/>
      <c r="N55" s="67"/>
      <c r="O55" s="71"/>
      <c r="P55" s="67"/>
      <c r="Q55" s="71"/>
      <c r="R55" s="67"/>
      <c r="S55" s="72"/>
      <c r="T55" s="72"/>
      <c r="U55" s="72"/>
      <c r="V55" s="72">
        <v>475.8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994.9000000000001</v>
      </c>
      <c r="AG55" s="72">
        <f t="shared" si="11"/>
        <v>368.2069999999999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70">
        <v>20.2</v>
      </c>
      <c r="C57" s="72">
        <v>44.63600000000012</v>
      </c>
      <c r="D57" s="72"/>
      <c r="E57" s="72"/>
      <c r="F57" s="72"/>
      <c r="G57" s="72"/>
      <c r="H57" s="72"/>
      <c r="I57" s="72"/>
      <c r="J57" s="72"/>
      <c r="K57" s="72">
        <v>7.8</v>
      </c>
      <c r="L57" s="72"/>
      <c r="M57" s="72"/>
      <c r="N57" s="72"/>
      <c r="O57" s="72"/>
      <c r="P57" s="72">
        <v>4.8</v>
      </c>
      <c r="Q57" s="72">
        <v>0.2</v>
      </c>
      <c r="R57" s="72"/>
      <c r="S57" s="72"/>
      <c r="T57" s="72"/>
      <c r="U57" s="72">
        <v>5.5</v>
      </c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18.299999999999997</v>
      </c>
      <c r="AG57" s="72">
        <f t="shared" si="11"/>
        <v>46.536000000000115</v>
      </c>
    </row>
    <row r="58" spans="1:33" ht="15.7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889.3399999999999</v>
      </c>
      <c r="C60" s="72">
        <v>831.0570000000004</v>
      </c>
      <c r="D60" s="67">
        <f t="shared" si="12"/>
        <v>0</v>
      </c>
      <c r="E60" s="67">
        <f>E54-E55-E57-E59-E56-E58</f>
        <v>5.299999999999997</v>
      </c>
      <c r="F60" s="67">
        <f t="shared" si="12"/>
        <v>221.7</v>
      </c>
      <c r="G60" s="67">
        <f t="shared" si="12"/>
        <v>0</v>
      </c>
      <c r="H60" s="67">
        <f t="shared" si="12"/>
        <v>0.4</v>
      </c>
      <c r="I60" s="67">
        <f t="shared" si="12"/>
        <v>9</v>
      </c>
      <c r="J60" s="72">
        <f t="shared" si="12"/>
        <v>13</v>
      </c>
      <c r="K60" s="67">
        <f t="shared" si="12"/>
        <v>2.8</v>
      </c>
      <c r="L60" s="72">
        <f t="shared" si="12"/>
        <v>0</v>
      </c>
      <c r="M60" s="67">
        <f t="shared" si="12"/>
        <v>0</v>
      </c>
      <c r="N60" s="67">
        <f t="shared" si="12"/>
        <v>2.8</v>
      </c>
      <c r="O60" s="67">
        <f t="shared" si="12"/>
        <v>0</v>
      </c>
      <c r="P60" s="67">
        <f t="shared" si="12"/>
        <v>156.7</v>
      </c>
      <c r="Q60" s="67">
        <f t="shared" si="12"/>
        <v>36.4</v>
      </c>
      <c r="R60" s="67">
        <f t="shared" si="12"/>
        <v>0</v>
      </c>
      <c r="S60" s="67">
        <f t="shared" si="12"/>
        <v>25.1</v>
      </c>
      <c r="T60" s="67">
        <f t="shared" si="12"/>
        <v>17.6</v>
      </c>
      <c r="U60" s="67">
        <f t="shared" si="12"/>
        <v>3.5999999999999996</v>
      </c>
      <c r="V60" s="67">
        <f t="shared" si="12"/>
        <v>124.80000000000001</v>
      </c>
      <c r="W60" s="67">
        <f t="shared" si="12"/>
        <v>13.5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632.7</v>
      </c>
      <c r="AG60" s="72">
        <f>AG54-AG55-AG57-AG59-AG56-AG58</f>
        <v>1087.6970000000001</v>
      </c>
    </row>
    <row r="61" spans="1:33" ht="15" customHeight="1">
      <c r="A61" s="4" t="s">
        <v>10</v>
      </c>
      <c r="B61" s="72">
        <v>106.3</v>
      </c>
      <c r="C61" s="72">
        <v>731.7</v>
      </c>
      <c r="D61" s="67"/>
      <c r="E61" s="67"/>
      <c r="F61" s="67"/>
      <c r="G61" s="67"/>
      <c r="H61" s="67"/>
      <c r="I61" s="67"/>
      <c r="J61" s="72">
        <v>3.3</v>
      </c>
      <c r="K61" s="67">
        <v>24.2</v>
      </c>
      <c r="L61" s="72"/>
      <c r="M61" s="67">
        <v>12.6</v>
      </c>
      <c r="N61" s="67"/>
      <c r="O61" s="71"/>
      <c r="P61" s="67"/>
      <c r="Q61" s="71"/>
      <c r="R61" s="67"/>
      <c r="S61" s="72"/>
      <c r="T61" s="72"/>
      <c r="U61" s="72"/>
      <c r="V61" s="72"/>
      <c r="W61" s="72">
        <v>1.5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41.6</v>
      </c>
      <c r="AG61" s="72">
        <f aca="true" t="shared" si="14" ref="AG61:AG67">B61+C61-AF61</f>
        <v>796.4</v>
      </c>
    </row>
    <row r="62" spans="1:33" s="18" customFormat="1" ht="15" customHeight="1">
      <c r="A62" s="108" t="s">
        <v>11</v>
      </c>
      <c r="B62" s="72">
        <f>3245.1+0.6</f>
        <v>3245.7</v>
      </c>
      <c r="C62" s="72">
        <v>3252.4</v>
      </c>
      <c r="D62" s="72"/>
      <c r="E62" s="72">
        <v>22</v>
      </c>
      <c r="F62" s="72">
        <v>30.7</v>
      </c>
      <c r="G62" s="72">
        <v>429.7</v>
      </c>
      <c r="H62" s="72"/>
      <c r="I62" s="72">
        <v>7.5</v>
      </c>
      <c r="J62" s="72"/>
      <c r="K62" s="72">
        <v>8.6</v>
      </c>
      <c r="L62" s="72">
        <v>482.9</v>
      </c>
      <c r="M62" s="72"/>
      <c r="N62" s="72"/>
      <c r="O62" s="72">
        <v>117.6</v>
      </c>
      <c r="P62" s="72"/>
      <c r="Q62" s="72">
        <v>13.7</v>
      </c>
      <c r="R62" s="72">
        <v>58</v>
      </c>
      <c r="S62" s="72">
        <v>9.7</v>
      </c>
      <c r="T62" s="72">
        <v>59.5</v>
      </c>
      <c r="U62" s="72">
        <v>163.3</v>
      </c>
      <c r="V62" s="72">
        <v>551.9</v>
      </c>
      <c r="W62" s="72"/>
      <c r="X62" s="72">
        <v>1</v>
      </c>
      <c r="Y62" s="72"/>
      <c r="Z62" s="72"/>
      <c r="AA62" s="72"/>
      <c r="AB62" s="72"/>
      <c r="AC62" s="72"/>
      <c r="AD62" s="72"/>
      <c r="AE62" s="72"/>
      <c r="AF62" s="72">
        <f t="shared" si="13"/>
        <v>1956.1</v>
      </c>
      <c r="AG62" s="72">
        <f t="shared" si="14"/>
        <v>4542</v>
      </c>
    </row>
    <row r="63" spans="1:34" ht="15.75">
      <c r="A63" s="3" t="s">
        <v>5</v>
      </c>
      <c r="B63" s="72">
        <v>1070.2</v>
      </c>
      <c r="C63" s="72">
        <v>1180.5040000000004</v>
      </c>
      <c r="D63" s="67"/>
      <c r="E63" s="67"/>
      <c r="F63" s="67"/>
      <c r="G63" s="67"/>
      <c r="H63" s="67"/>
      <c r="I63" s="67"/>
      <c r="J63" s="72"/>
      <c r="K63" s="67"/>
      <c r="L63" s="72">
        <v>358.8</v>
      </c>
      <c r="M63" s="67"/>
      <c r="N63" s="67"/>
      <c r="O63" s="71"/>
      <c r="P63" s="67"/>
      <c r="Q63" s="71"/>
      <c r="R63" s="67"/>
      <c r="S63" s="72"/>
      <c r="T63" s="72"/>
      <c r="U63" s="72"/>
      <c r="V63" s="72">
        <v>550.5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909.3</v>
      </c>
      <c r="AG63" s="72">
        <f t="shared" si="14"/>
        <v>1341.4040000000007</v>
      </c>
      <c r="AH63" s="121"/>
    </row>
    <row r="64" spans="1:34" ht="15.75">
      <c r="A64" s="3" t="s">
        <v>3</v>
      </c>
      <c r="B64" s="72">
        <v>1.4</v>
      </c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1.4</v>
      </c>
      <c r="AH64" s="6"/>
    </row>
    <row r="65" spans="1:34" ht="15.75">
      <c r="A65" s="3" t="s">
        <v>1</v>
      </c>
      <c r="B65" s="72">
        <v>78</v>
      </c>
      <c r="C65" s="72">
        <v>43.40000000000001</v>
      </c>
      <c r="D65" s="67"/>
      <c r="E65" s="67">
        <v>1.8</v>
      </c>
      <c r="F65" s="67"/>
      <c r="G65" s="67"/>
      <c r="H65" s="67"/>
      <c r="I65" s="67"/>
      <c r="J65" s="72"/>
      <c r="K65" s="67">
        <v>2.2</v>
      </c>
      <c r="L65" s="72"/>
      <c r="M65" s="67"/>
      <c r="N65" s="67"/>
      <c r="O65" s="71">
        <v>4.1</v>
      </c>
      <c r="P65" s="67"/>
      <c r="Q65" s="71">
        <v>5.9</v>
      </c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14</v>
      </c>
      <c r="AG65" s="72">
        <f t="shared" si="14"/>
        <v>107.4</v>
      </c>
      <c r="AH65" s="6"/>
    </row>
    <row r="66" spans="1:33" ht="15.75">
      <c r="A66" s="3" t="s">
        <v>2</v>
      </c>
      <c r="B66" s="72">
        <v>32.2</v>
      </c>
      <c r="C66" s="72">
        <v>125.54500000000002</v>
      </c>
      <c r="D66" s="67"/>
      <c r="E66" s="67">
        <v>1.1</v>
      </c>
      <c r="F66" s="67"/>
      <c r="G66" s="67"/>
      <c r="H66" s="67"/>
      <c r="I66" s="67">
        <v>0.5</v>
      </c>
      <c r="J66" s="72"/>
      <c r="K66" s="67">
        <v>0.1</v>
      </c>
      <c r="L66" s="72"/>
      <c r="M66" s="67"/>
      <c r="N66" s="67"/>
      <c r="O66" s="71"/>
      <c r="P66" s="67"/>
      <c r="Q66" s="67">
        <v>1</v>
      </c>
      <c r="R66" s="67"/>
      <c r="S66" s="72">
        <v>9.6</v>
      </c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12.3</v>
      </c>
      <c r="AG66" s="72">
        <f t="shared" si="14"/>
        <v>145.445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>
        <v>110</v>
      </c>
      <c r="P67" s="67"/>
      <c r="Q67" s="67"/>
      <c r="R67" s="67"/>
      <c r="S67" s="72"/>
      <c r="T67" s="72"/>
      <c r="U67" s="67">
        <v>0</v>
      </c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>B62-B63-B66-B67-B65-B64</f>
        <v>1953.9</v>
      </c>
      <c r="C68" s="72">
        <v>1902.9509999999996</v>
      </c>
      <c r="D68" s="67">
        <f aca="true" t="shared" si="15" ref="D68:AD68">D62-D63-D66-D67-D65-D64</f>
        <v>0</v>
      </c>
      <c r="E68" s="67">
        <f t="shared" si="15"/>
        <v>19.099999999999998</v>
      </c>
      <c r="F68" s="67">
        <f t="shared" si="15"/>
        <v>30.7</v>
      </c>
      <c r="G68" s="67">
        <f t="shared" si="15"/>
        <v>429.7</v>
      </c>
      <c r="H68" s="67">
        <f t="shared" si="15"/>
        <v>0</v>
      </c>
      <c r="I68" s="67">
        <f t="shared" si="15"/>
        <v>7</v>
      </c>
      <c r="J68" s="72">
        <f t="shared" si="15"/>
        <v>0</v>
      </c>
      <c r="K68" s="67">
        <f t="shared" si="15"/>
        <v>6.3</v>
      </c>
      <c r="L68" s="72">
        <f t="shared" si="15"/>
        <v>124.09999999999997</v>
      </c>
      <c r="M68" s="67">
        <f t="shared" si="15"/>
        <v>0</v>
      </c>
      <c r="N68" s="67">
        <f t="shared" si="15"/>
        <v>0</v>
      </c>
      <c r="O68" s="67">
        <f t="shared" si="15"/>
        <v>3.4999999999999947</v>
      </c>
      <c r="P68" s="67">
        <f t="shared" si="15"/>
        <v>0</v>
      </c>
      <c r="Q68" s="67">
        <f t="shared" si="15"/>
        <v>6.799999999999999</v>
      </c>
      <c r="R68" s="67">
        <f t="shared" si="15"/>
        <v>58</v>
      </c>
      <c r="S68" s="67">
        <f t="shared" si="15"/>
        <v>0.09999999999999964</v>
      </c>
      <c r="T68" s="67">
        <f t="shared" si="15"/>
        <v>59.5</v>
      </c>
      <c r="U68" s="67">
        <f t="shared" si="15"/>
        <v>163.3</v>
      </c>
      <c r="V68" s="67">
        <f t="shared" si="15"/>
        <v>1.3999999999999773</v>
      </c>
      <c r="W68" s="67">
        <f t="shared" si="15"/>
        <v>0</v>
      </c>
      <c r="X68" s="67">
        <f t="shared" si="15"/>
        <v>1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910.4999999999999</v>
      </c>
      <c r="AG68" s="72">
        <f>AG62-AG63-AG66-AG67-AG65-AG64</f>
        <v>2946.350999999999</v>
      </c>
    </row>
    <row r="69" spans="1:33" ht="31.5">
      <c r="A69" s="4" t="s">
        <v>45</v>
      </c>
      <c r="B69" s="72">
        <f>4363.7+800</f>
        <v>5163.7</v>
      </c>
      <c r="C69" s="72">
        <v>572.5389999999998</v>
      </c>
      <c r="D69" s="67"/>
      <c r="E69" s="67"/>
      <c r="F69" s="67">
        <v>1337.2</v>
      </c>
      <c r="G69" s="67"/>
      <c r="H69" s="67"/>
      <c r="I69" s="67"/>
      <c r="J69" s="72"/>
      <c r="K69" s="67"/>
      <c r="L69" s="72"/>
      <c r="M69" s="67">
        <v>1221</v>
      </c>
      <c r="N69" s="67"/>
      <c r="O69" s="67"/>
      <c r="P69" s="67"/>
      <c r="Q69" s="67"/>
      <c r="R69" s="67">
        <v>3120.4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5678.6</v>
      </c>
      <c r="AG69" s="130">
        <f aca="true" t="shared" si="16" ref="AG69:AG92">B69+C69-AF69</f>
        <v>57.638999999999214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f>1102.5+34.7</f>
        <v>1137.2</v>
      </c>
      <c r="C71" s="80">
        <v>555.25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/>
      <c r="O71" s="79"/>
      <c r="P71" s="79"/>
      <c r="Q71" s="81"/>
      <c r="R71" s="79">
        <v>47</v>
      </c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47</v>
      </c>
      <c r="AG71" s="130">
        <f t="shared" si="16"/>
        <v>1645.45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1092.2-90</f>
        <v>1002.2</v>
      </c>
      <c r="C72" s="72">
        <v>3227</v>
      </c>
      <c r="D72" s="67"/>
      <c r="E72" s="67">
        <v>162.5</v>
      </c>
      <c r="F72" s="67">
        <f>13+3.6+0.5</f>
        <v>17.1</v>
      </c>
      <c r="G72" s="67"/>
      <c r="H72" s="67"/>
      <c r="I72" s="67"/>
      <c r="J72" s="72">
        <v>80.5</v>
      </c>
      <c r="K72" s="67"/>
      <c r="L72" s="72">
        <v>0.4</v>
      </c>
      <c r="M72" s="67">
        <v>0.4</v>
      </c>
      <c r="N72" s="67"/>
      <c r="O72" s="67"/>
      <c r="P72" s="67">
        <v>5</v>
      </c>
      <c r="Q72" s="71"/>
      <c r="R72" s="67">
        <v>1.1</v>
      </c>
      <c r="S72" s="72">
        <v>0.3</v>
      </c>
      <c r="T72" s="72">
        <v>26.3</v>
      </c>
      <c r="U72" s="72">
        <v>214.8</v>
      </c>
      <c r="V72" s="72">
        <f>7.4+4.3+15.7</f>
        <v>27.4</v>
      </c>
      <c r="W72" s="72">
        <v>18.7</v>
      </c>
      <c r="X72" s="67">
        <v>12</v>
      </c>
      <c r="Y72" s="72"/>
      <c r="Z72" s="72"/>
      <c r="AA72" s="72"/>
      <c r="AB72" s="67"/>
      <c r="AC72" s="67"/>
      <c r="AD72" s="67"/>
      <c r="AE72" s="67"/>
      <c r="AF72" s="71">
        <f t="shared" si="13"/>
        <v>566.5000000000001</v>
      </c>
      <c r="AG72" s="130">
        <f t="shared" si="16"/>
        <v>3662.7</v>
      </c>
      <c r="AH72" s="86">
        <f>AG72+AG69+AG76</f>
        <v>3839.898999999999</v>
      </c>
    </row>
    <row r="73" spans="1:33" ht="15" customHeight="1">
      <c r="A73" s="3" t="s">
        <v>5</v>
      </c>
      <c r="B73" s="72">
        <v>0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0</v>
      </c>
    </row>
    <row r="74" spans="1:33" ht="15" customHeight="1">
      <c r="A74" s="3" t="s">
        <v>2</v>
      </c>
      <c r="B74" s="72">
        <f>27.8+77.3-21.6+43.2</f>
        <v>126.7</v>
      </c>
      <c r="C74" s="72">
        <v>436.3</v>
      </c>
      <c r="D74" s="67"/>
      <c r="E74" s="67">
        <v>36.5</v>
      </c>
      <c r="F74" s="67">
        <v>0.5</v>
      </c>
      <c r="G74" s="67"/>
      <c r="H74" s="67"/>
      <c r="I74" s="67"/>
      <c r="J74" s="72">
        <v>26</v>
      </c>
      <c r="K74" s="67"/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63</v>
      </c>
      <c r="AG74" s="130">
        <f t="shared" si="16"/>
        <v>500</v>
      </c>
    </row>
    <row r="75" spans="1:33" ht="15" customHeight="1">
      <c r="A75" s="3" t="s">
        <v>16</v>
      </c>
      <c r="B75" s="72">
        <f>194+12</f>
        <v>206</v>
      </c>
      <c r="C75" s="72">
        <v>83.30000000000001</v>
      </c>
      <c r="D75" s="67"/>
      <c r="E75" s="67"/>
      <c r="F75" s="67"/>
      <c r="G75" s="67"/>
      <c r="H75" s="67"/>
      <c r="I75" s="67"/>
      <c r="J75" s="72"/>
      <c r="K75" s="67"/>
      <c r="L75" s="72"/>
      <c r="M75" s="67"/>
      <c r="N75" s="67"/>
      <c r="O75" s="67"/>
      <c r="P75" s="67"/>
      <c r="Q75" s="71"/>
      <c r="R75" s="67"/>
      <c r="S75" s="72"/>
      <c r="T75" s="72"/>
      <c r="U75" s="72"/>
      <c r="V75" s="72">
        <v>7.4</v>
      </c>
      <c r="W75" s="72"/>
      <c r="X75" s="67">
        <v>11.2</v>
      </c>
      <c r="Y75" s="72"/>
      <c r="Z75" s="72"/>
      <c r="AA75" s="72"/>
      <c r="AB75" s="67"/>
      <c r="AC75" s="67"/>
      <c r="AD75" s="67"/>
      <c r="AE75" s="67"/>
      <c r="AF75" s="71">
        <f t="shared" si="13"/>
        <v>18.6</v>
      </c>
      <c r="AG75" s="130">
        <f t="shared" si="16"/>
        <v>270.7</v>
      </c>
    </row>
    <row r="76" spans="1:35" s="11" customFormat="1" ht="15.75">
      <c r="A76" s="12" t="s">
        <v>48</v>
      </c>
      <c r="B76" s="72">
        <f>107+172</f>
        <v>279</v>
      </c>
      <c r="C76" s="72">
        <v>22.8599999999999</v>
      </c>
      <c r="D76" s="67"/>
      <c r="E76" s="79"/>
      <c r="F76" s="79"/>
      <c r="G76" s="79">
        <v>1.3</v>
      </c>
      <c r="H76" s="79"/>
      <c r="I76" s="79"/>
      <c r="J76" s="80"/>
      <c r="K76" s="79"/>
      <c r="L76" s="80"/>
      <c r="M76" s="79">
        <v>74.9</v>
      </c>
      <c r="N76" s="79"/>
      <c r="O76" s="79"/>
      <c r="P76" s="79"/>
      <c r="Q76" s="81"/>
      <c r="R76" s="79"/>
      <c r="S76" s="80"/>
      <c r="T76" s="80"/>
      <c r="U76" s="79">
        <v>19.8</v>
      </c>
      <c r="V76" s="79">
        <v>86.3</v>
      </c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182.3</v>
      </c>
      <c r="AG76" s="130">
        <f t="shared" si="16"/>
        <v>119.55999999999989</v>
      </c>
      <c r="AI76" s="128"/>
    </row>
    <row r="77" spans="1:33" s="11" customFormat="1" ht="15.75">
      <c r="A77" s="3" t="s">
        <v>5</v>
      </c>
      <c r="B77" s="72">
        <v>144.1</v>
      </c>
      <c r="C77" s="72">
        <v>5.099999999999994</v>
      </c>
      <c r="D77" s="67"/>
      <c r="E77" s="79"/>
      <c r="F77" s="79"/>
      <c r="G77" s="79"/>
      <c r="H77" s="79"/>
      <c r="I77" s="79"/>
      <c r="J77" s="80"/>
      <c r="K77" s="79"/>
      <c r="L77" s="80"/>
      <c r="M77" s="79">
        <v>52.9</v>
      </c>
      <c r="N77" s="79"/>
      <c r="O77" s="79"/>
      <c r="P77" s="79"/>
      <c r="Q77" s="81"/>
      <c r="R77" s="79"/>
      <c r="S77" s="80"/>
      <c r="T77" s="80"/>
      <c r="U77" s="79"/>
      <c r="V77" s="79">
        <v>85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137.9</v>
      </c>
      <c r="AG77" s="130">
        <f t="shared" si="16"/>
        <v>11.299999999999983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11.8</v>
      </c>
      <c r="D80" s="67"/>
      <c r="E80" s="79"/>
      <c r="F80" s="79"/>
      <c r="G80" s="79"/>
      <c r="H80" s="79"/>
      <c r="I80" s="79"/>
      <c r="J80" s="80"/>
      <c r="K80" s="79"/>
      <c r="L80" s="80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</v>
      </c>
      <c r="AG80" s="130">
        <f t="shared" si="16"/>
        <v>12.3</v>
      </c>
    </row>
    <row r="81" spans="1:33" s="11" customFormat="1" ht="15.7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2700.8+5671.6</f>
        <v>8372.400000000001</v>
      </c>
      <c r="C89" s="72">
        <v>1787.9999999999973</v>
      </c>
      <c r="D89" s="67"/>
      <c r="E89" s="67"/>
      <c r="F89" s="67">
        <v>997.7</v>
      </c>
      <c r="G89" s="67"/>
      <c r="H89" s="67"/>
      <c r="I89" s="67"/>
      <c r="J89" s="72">
        <v>999.6</v>
      </c>
      <c r="K89" s="67"/>
      <c r="L89" s="72"/>
      <c r="M89" s="67">
        <v>774.8</v>
      </c>
      <c r="N89" s="67"/>
      <c r="O89" s="67"/>
      <c r="P89" s="67"/>
      <c r="Q89" s="67"/>
      <c r="R89" s="67">
        <v>1559.9</v>
      </c>
      <c r="S89" s="72"/>
      <c r="T89" s="72"/>
      <c r="U89" s="67"/>
      <c r="V89" s="67">
        <v>3388.1</v>
      </c>
      <c r="W89" s="67">
        <v>562.4</v>
      </c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8282.5</v>
      </c>
      <c r="AG89" s="72">
        <f t="shared" si="16"/>
        <v>1877.8999999999978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72"/>
      <c r="K90" s="67">
        <v>1173.1</v>
      </c>
      <c r="L90" s="72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/>
      <c r="X90" s="72"/>
      <c r="Y90" s="72">
        <v>1173.1</v>
      </c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58304.2-6471.6-100+1641.8</f>
        <v>53374.4</v>
      </c>
      <c r="C92" s="72">
        <v>64459</v>
      </c>
      <c r="D92" s="67">
        <v>566.5</v>
      </c>
      <c r="E92" s="67">
        <v>1528.5</v>
      </c>
      <c r="F92" s="67">
        <v>1339.1</v>
      </c>
      <c r="G92" s="67"/>
      <c r="H92" s="67">
        <v>3285.1</v>
      </c>
      <c r="I92" s="67">
        <v>971.6</v>
      </c>
      <c r="J92" s="72">
        <v>216.8</v>
      </c>
      <c r="K92" s="67">
        <v>1076.6</v>
      </c>
      <c r="L92" s="72">
        <v>1992.4</v>
      </c>
      <c r="M92" s="67">
        <v>70</v>
      </c>
      <c r="N92" s="67">
        <v>79.1</v>
      </c>
      <c r="O92" s="67">
        <v>1650.5</v>
      </c>
      <c r="P92" s="67">
        <v>948.5</v>
      </c>
      <c r="Q92" s="67">
        <v>696.9</v>
      </c>
      <c r="R92" s="67">
        <v>2465.9</v>
      </c>
      <c r="S92" s="72">
        <v>1374.9</v>
      </c>
      <c r="T92" s="72">
        <v>1596.8</v>
      </c>
      <c r="U92" s="67"/>
      <c r="V92" s="67">
        <v>131.6</v>
      </c>
      <c r="W92" s="67"/>
      <c r="X92" s="72"/>
      <c r="Y92" s="72">
        <v>737.5</v>
      </c>
      <c r="Z92" s="72"/>
      <c r="AA92" s="72"/>
      <c r="AB92" s="67"/>
      <c r="AC92" s="67"/>
      <c r="AD92" s="67"/>
      <c r="AE92" s="67"/>
      <c r="AF92" s="71">
        <f t="shared" si="13"/>
        <v>20728.3</v>
      </c>
      <c r="AG92" s="72">
        <f t="shared" si="16"/>
        <v>97105.09999999999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160438.53</v>
      </c>
      <c r="C94" s="132">
        <f t="shared" si="17"/>
        <v>143867.49549</v>
      </c>
      <c r="D94" s="83">
        <f t="shared" si="17"/>
        <v>1052.9</v>
      </c>
      <c r="E94" s="83">
        <f t="shared" si="17"/>
        <v>2559.4</v>
      </c>
      <c r="F94" s="83">
        <f t="shared" si="17"/>
        <v>4458.700000000001</v>
      </c>
      <c r="G94" s="83">
        <f t="shared" si="17"/>
        <v>1105.1</v>
      </c>
      <c r="H94" s="83">
        <f t="shared" si="17"/>
        <v>3533.4</v>
      </c>
      <c r="I94" s="83">
        <f t="shared" si="17"/>
        <v>1003.1</v>
      </c>
      <c r="J94" s="132">
        <f t="shared" si="17"/>
        <v>2627.6000000000004</v>
      </c>
      <c r="K94" s="83">
        <f t="shared" si="17"/>
        <v>5664.0999999999985</v>
      </c>
      <c r="L94" s="132">
        <f t="shared" si="17"/>
        <v>26307.600000000006</v>
      </c>
      <c r="M94" s="83">
        <f t="shared" si="17"/>
        <v>4350.1</v>
      </c>
      <c r="N94" s="83">
        <f t="shared" si="17"/>
        <v>843.6</v>
      </c>
      <c r="O94" s="83">
        <f t="shared" si="17"/>
        <v>2425.2</v>
      </c>
      <c r="P94" s="83">
        <f t="shared" si="17"/>
        <v>3506.6</v>
      </c>
      <c r="Q94" s="83">
        <f t="shared" si="17"/>
        <v>2665.4</v>
      </c>
      <c r="R94" s="83">
        <f t="shared" si="17"/>
        <v>7658.799999999999</v>
      </c>
      <c r="S94" s="83">
        <f t="shared" si="17"/>
        <v>1543.5</v>
      </c>
      <c r="T94" s="83">
        <f t="shared" si="17"/>
        <v>2242.3</v>
      </c>
      <c r="U94" s="83">
        <f t="shared" si="17"/>
        <v>3056.4000000000005</v>
      </c>
      <c r="V94" s="83">
        <f t="shared" si="17"/>
        <v>44473.00000000001</v>
      </c>
      <c r="W94" s="83">
        <f t="shared" si="17"/>
        <v>10102.900000000001</v>
      </c>
      <c r="X94" s="83">
        <f t="shared" si="17"/>
        <v>564.5</v>
      </c>
      <c r="Y94" s="83">
        <f t="shared" si="17"/>
        <v>1912.1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133656.30000000002</v>
      </c>
      <c r="AG94" s="84">
        <f>AG10+AG15+AG24+AG33+AG47+AG52+AG54+AG61+AG62+AG69+AG71+AG72+AG76+AG81+AG82+AG83+AG88+AG89+AG90+AG91+AG70+AG40+AG92</f>
        <v>170649.72548999998</v>
      </c>
    </row>
    <row r="95" spans="1:33" ht="15.75">
      <c r="A95" s="3" t="s">
        <v>5</v>
      </c>
      <c r="B95" s="22">
        <f>B11+B17+B26+B34+B55+B63+B73+B41+B77+B48</f>
        <v>45081.3</v>
      </c>
      <c r="C95" s="109">
        <f aca="true" t="shared" si="18" ref="C95:AD95">C11+C17+C26+C34+C55+C63+C73+C41+C77+C48</f>
        <v>28538.431999999997</v>
      </c>
      <c r="D95" s="67">
        <f t="shared" si="18"/>
        <v>482.4</v>
      </c>
      <c r="E95" s="67">
        <f t="shared" si="18"/>
        <v>245.60000000000002</v>
      </c>
      <c r="F95" s="67">
        <f t="shared" si="18"/>
        <v>34</v>
      </c>
      <c r="G95" s="67">
        <f t="shared" si="18"/>
        <v>272</v>
      </c>
      <c r="H95" s="67">
        <f t="shared" si="18"/>
        <v>0</v>
      </c>
      <c r="I95" s="67">
        <f t="shared" si="18"/>
        <v>0</v>
      </c>
      <c r="J95" s="72">
        <f t="shared" si="18"/>
        <v>565.9</v>
      </c>
      <c r="K95" s="67">
        <f t="shared" si="18"/>
        <v>359.1</v>
      </c>
      <c r="L95" s="72">
        <f t="shared" si="18"/>
        <v>14610.099999999997</v>
      </c>
      <c r="M95" s="67">
        <f t="shared" si="18"/>
        <v>1262.1000000000001</v>
      </c>
      <c r="N95" s="67">
        <f t="shared" si="18"/>
        <v>0</v>
      </c>
      <c r="O95" s="67">
        <f t="shared" si="18"/>
        <v>19.7</v>
      </c>
      <c r="P95" s="67">
        <f t="shared" si="18"/>
        <v>0</v>
      </c>
      <c r="Q95" s="67">
        <f t="shared" si="18"/>
        <v>57.6</v>
      </c>
      <c r="R95" s="67">
        <f t="shared" si="18"/>
        <v>141</v>
      </c>
      <c r="S95" s="67">
        <f t="shared" si="18"/>
        <v>0</v>
      </c>
      <c r="T95" s="67">
        <f t="shared" si="18"/>
        <v>0</v>
      </c>
      <c r="U95" s="67">
        <f t="shared" si="18"/>
        <v>664.6</v>
      </c>
      <c r="V95" s="67">
        <f t="shared" si="18"/>
        <v>26146.299999999996</v>
      </c>
      <c r="W95" s="67">
        <f t="shared" si="18"/>
        <v>5747.6</v>
      </c>
      <c r="X95" s="67">
        <f t="shared" si="18"/>
        <v>511.4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51119.399999999994</v>
      </c>
      <c r="AG95" s="71">
        <f>B95+C95-AF95</f>
        <v>22500.33200000001</v>
      </c>
    </row>
    <row r="96" spans="1:33" ht="15.75">
      <c r="A96" s="3" t="s">
        <v>2</v>
      </c>
      <c r="B96" s="22">
        <f aca="true" t="shared" si="19" ref="B96:AD96">B12+B20+B29+B36+B57+B66+B44+B80+B74+B53</f>
        <v>2025.3000000000002</v>
      </c>
      <c r="C96" s="109">
        <f t="shared" si="19"/>
        <v>2368.0620000000004</v>
      </c>
      <c r="D96" s="67">
        <f t="shared" si="19"/>
        <v>0</v>
      </c>
      <c r="E96" s="67">
        <f t="shared" si="19"/>
        <v>37.6</v>
      </c>
      <c r="F96" s="67">
        <f t="shared" si="19"/>
        <v>40.699999999999996</v>
      </c>
      <c r="G96" s="67">
        <f t="shared" si="19"/>
        <v>0</v>
      </c>
      <c r="H96" s="67">
        <f t="shared" si="19"/>
        <v>0</v>
      </c>
      <c r="I96" s="67">
        <f t="shared" si="19"/>
        <v>0.5</v>
      </c>
      <c r="J96" s="72">
        <f t="shared" si="19"/>
        <v>183</v>
      </c>
      <c r="K96" s="67">
        <f t="shared" si="19"/>
        <v>20.500000000000004</v>
      </c>
      <c r="L96" s="72">
        <f t="shared" si="19"/>
        <v>4.5</v>
      </c>
      <c r="M96" s="67">
        <f t="shared" si="19"/>
        <v>212.9</v>
      </c>
      <c r="N96" s="67">
        <f t="shared" si="19"/>
        <v>6.300000000000001</v>
      </c>
      <c r="O96" s="67">
        <f t="shared" si="19"/>
        <v>14.299999999999999</v>
      </c>
      <c r="P96" s="67">
        <f t="shared" si="19"/>
        <v>92.8</v>
      </c>
      <c r="Q96" s="67">
        <f t="shared" si="19"/>
        <v>275.8</v>
      </c>
      <c r="R96" s="67">
        <f t="shared" si="19"/>
        <v>15.1</v>
      </c>
      <c r="S96" s="67">
        <f t="shared" si="19"/>
        <v>20</v>
      </c>
      <c r="T96" s="67">
        <f t="shared" si="19"/>
        <v>117</v>
      </c>
      <c r="U96" s="67">
        <f t="shared" si="19"/>
        <v>13.6</v>
      </c>
      <c r="V96" s="67">
        <f t="shared" si="19"/>
        <v>68.4</v>
      </c>
      <c r="W96" s="67">
        <f t="shared" si="19"/>
        <v>731.5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1854.5</v>
      </c>
      <c r="AG96" s="71">
        <f>B96+C96-AF96</f>
        <v>2538.862000000001</v>
      </c>
    </row>
    <row r="97" spans="1:33" ht="15.75">
      <c r="A97" s="3" t="s">
        <v>3</v>
      </c>
      <c r="B97" s="22">
        <f aca="true" t="shared" si="20" ref="B97:AA97">B18+B27+B42+B64+B78</f>
        <v>1.4</v>
      </c>
      <c r="C97" s="109">
        <f t="shared" si="20"/>
        <v>10.299999999999999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0.7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0.7</v>
      </c>
      <c r="AG97" s="71">
        <f>B97+C97-AF97</f>
        <v>11</v>
      </c>
    </row>
    <row r="98" spans="1:33" ht="15.75">
      <c r="A98" s="3" t="s">
        <v>1</v>
      </c>
      <c r="B98" s="22">
        <f aca="true" t="shared" si="21" ref="B98:AD98">B19+B28+B65+B35+B43+B56+B79</f>
        <v>2402.8</v>
      </c>
      <c r="C98" s="109">
        <f t="shared" si="21"/>
        <v>6610.085999999999</v>
      </c>
      <c r="D98" s="67">
        <f t="shared" si="21"/>
        <v>0</v>
      </c>
      <c r="E98" s="67">
        <f t="shared" si="21"/>
        <v>1.8</v>
      </c>
      <c r="F98" s="67">
        <f t="shared" si="21"/>
        <v>9.1</v>
      </c>
      <c r="G98" s="67">
        <f t="shared" si="21"/>
        <v>0</v>
      </c>
      <c r="H98" s="67">
        <f t="shared" si="21"/>
        <v>87.5</v>
      </c>
      <c r="I98" s="67">
        <f t="shared" si="21"/>
        <v>0</v>
      </c>
      <c r="J98" s="72">
        <f t="shared" si="21"/>
        <v>10.5</v>
      </c>
      <c r="K98" s="67">
        <f t="shared" si="21"/>
        <v>65.6</v>
      </c>
      <c r="L98" s="72">
        <f t="shared" si="21"/>
        <v>0</v>
      </c>
      <c r="M98" s="67">
        <f t="shared" si="21"/>
        <v>0</v>
      </c>
      <c r="N98" s="67">
        <f t="shared" si="21"/>
        <v>226.3</v>
      </c>
      <c r="O98" s="67">
        <f t="shared" si="21"/>
        <v>133.4</v>
      </c>
      <c r="P98" s="67">
        <f t="shared" si="21"/>
        <v>0</v>
      </c>
      <c r="Q98" s="67">
        <f t="shared" si="21"/>
        <v>99.39999999999999</v>
      </c>
      <c r="R98" s="67">
        <f t="shared" si="21"/>
        <v>70.3</v>
      </c>
      <c r="S98" s="67">
        <f t="shared" si="21"/>
        <v>0</v>
      </c>
      <c r="T98" s="67">
        <f t="shared" si="21"/>
        <v>1.5</v>
      </c>
      <c r="U98" s="67">
        <f t="shared" si="21"/>
        <v>8.2</v>
      </c>
      <c r="V98" s="67">
        <f t="shared" si="21"/>
        <v>0</v>
      </c>
      <c r="W98" s="67">
        <f t="shared" si="21"/>
        <v>1383.7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2097.3</v>
      </c>
      <c r="AG98" s="71">
        <f>B98+C98-AF98</f>
        <v>6915.585999999998</v>
      </c>
    </row>
    <row r="99" spans="1:33" ht="15.75">
      <c r="A99" s="3" t="s">
        <v>16</v>
      </c>
      <c r="B99" s="22">
        <f aca="true" t="shared" si="22" ref="B99:X99">B21+B30+B49+B37+B58+B13+B75+B67</f>
        <v>3154.1</v>
      </c>
      <c r="C99" s="109">
        <f t="shared" si="22"/>
        <v>4112.236</v>
      </c>
      <c r="D99" s="67">
        <f t="shared" si="22"/>
        <v>0</v>
      </c>
      <c r="E99" s="67">
        <f t="shared" si="22"/>
        <v>182.1</v>
      </c>
      <c r="F99" s="67">
        <f t="shared" si="22"/>
        <v>97.5</v>
      </c>
      <c r="G99" s="67">
        <f t="shared" si="22"/>
        <v>50.9</v>
      </c>
      <c r="H99" s="67">
        <f t="shared" si="22"/>
        <v>0</v>
      </c>
      <c r="I99" s="67">
        <f t="shared" si="22"/>
        <v>0</v>
      </c>
      <c r="J99" s="72">
        <f t="shared" si="22"/>
        <v>85.5</v>
      </c>
      <c r="K99" s="67">
        <f t="shared" si="22"/>
        <v>91.4</v>
      </c>
      <c r="L99" s="72">
        <f t="shared" si="22"/>
        <v>0</v>
      </c>
      <c r="M99" s="67">
        <f t="shared" si="22"/>
        <v>0</v>
      </c>
      <c r="N99" s="67">
        <f t="shared" si="22"/>
        <v>287.1</v>
      </c>
      <c r="O99" s="67">
        <f t="shared" si="22"/>
        <v>275.8</v>
      </c>
      <c r="P99" s="67">
        <f t="shared" si="22"/>
        <v>54.5</v>
      </c>
      <c r="Q99" s="67">
        <f t="shared" si="22"/>
        <v>12.4</v>
      </c>
      <c r="R99" s="67">
        <f t="shared" si="22"/>
        <v>0</v>
      </c>
      <c r="S99" s="67">
        <f t="shared" si="22"/>
        <v>0</v>
      </c>
      <c r="T99" s="67">
        <f t="shared" si="22"/>
        <v>34</v>
      </c>
      <c r="U99" s="67">
        <f t="shared" si="22"/>
        <v>903.5999999999999</v>
      </c>
      <c r="V99" s="67">
        <f t="shared" si="22"/>
        <v>591.8</v>
      </c>
      <c r="W99" s="67">
        <f t="shared" si="22"/>
        <v>1161.9</v>
      </c>
      <c r="X99" s="67">
        <f t="shared" si="22"/>
        <v>11.2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3839.7000000000003</v>
      </c>
      <c r="AG99" s="71">
        <f>B99+C99-AF99</f>
        <v>3426.635999999999</v>
      </c>
    </row>
    <row r="100" spans="1:33" ht="12.75">
      <c r="A100" s="1" t="s">
        <v>35</v>
      </c>
      <c r="B100" s="2">
        <f aca="true" t="shared" si="24" ref="B100:AD100">B94-B95-B96-B97-B98-B99</f>
        <v>107773.62999999999</v>
      </c>
      <c r="C100" s="20">
        <f t="shared" si="24"/>
        <v>102228.37948999999</v>
      </c>
      <c r="D100" s="85">
        <f t="shared" si="24"/>
        <v>570.5000000000001</v>
      </c>
      <c r="E100" s="85">
        <f t="shared" si="24"/>
        <v>2092.3</v>
      </c>
      <c r="F100" s="85">
        <f t="shared" si="24"/>
        <v>4277.400000000001</v>
      </c>
      <c r="G100" s="85">
        <f t="shared" si="24"/>
        <v>782.1999999999999</v>
      </c>
      <c r="H100" s="85">
        <f t="shared" si="24"/>
        <v>3445.9</v>
      </c>
      <c r="I100" s="85">
        <f t="shared" si="24"/>
        <v>1002.6</v>
      </c>
      <c r="J100" s="131">
        <f t="shared" si="24"/>
        <v>1782.7000000000003</v>
      </c>
      <c r="K100" s="85">
        <f t="shared" si="24"/>
        <v>5127.499999999998</v>
      </c>
      <c r="L100" s="131">
        <f t="shared" si="24"/>
        <v>11693.00000000001</v>
      </c>
      <c r="M100" s="85">
        <f t="shared" si="24"/>
        <v>2875.1</v>
      </c>
      <c r="N100" s="85">
        <f t="shared" si="24"/>
        <v>323.9</v>
      </c>
      <c r="O100" s="85">
        <f t="shared" si="24"/>
        <v>1981.9999999999998</v>
      </c>
      <c r="P100" s="85">
        <f t="shared" si="24"/>
        <v>3359.2999999999997</v>
      </c>
      <c r="Q100" s="85">
        <f t="shared" si="24"/>
        <v>2220.2</v>
      </c>
      <c r="R100" s="85">
        <f t="shared" si="24"/>
        <v>7432.399999999999</v>
      </c>
      <c r="S100" s="85">
        <f t="shared" si="24"/>
        <v>1523.5</v>
      </c>
      <c r="T100" s="85">
        <f t="shared" si="24"/>
        <v>2089.8</v>
      </c>
      <c r="U100" s="85">
        <f t="shared" si="24"/>
        <v>1465.7000000000012</v>
      </c>
      <c r="V100" s="85">
        <f t="shared" si="24"/>
        <v>17666.50000000001</v>
      </c>
      <c r="W100" s="85">
        <f t="shared" si="24"/>
        <v>1078.2000000000012</v>
      </c>
      <c r="X100" s="85">
        <f t="shared" si="24"/>
        <v>41.90000000000002</v>
      </c>
      <c r="Y100" s="85">
        <f t="shared" si="24"/>
        <v>1912.1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74744.70000000003</v>
      </c>
      <c r="AG100" s="85">
        <f>AG94-AG95-AG96-AG97-AG98-AG99</f>
        <v>135257.30948999999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2018-11-09T09:50:14Z</cp:lastPrinted>
  <dcterms:created xsi:type="dcterms:W3CDTF">2002-11-05T08:53:00Z</dcterms:created>
  <dcterms:modified xsi:type="dcterms:W3CDTF">2018-11-23T05:48:33Z</dcterms:modified>
  <cp:category/>
  <cp:version/>
  <cp:contentType/>
  <cp:contentStatus/>
</cp:coreProperties>
</file>